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\AG 2\Co-Operatives\"/>
    </mc:Choice>
  </mc:AlternateContent>
  <bookViews>
    <workbookView xWindow="120" yWindow="105" windowWidth="19035" windowHeight="12270"/>
  </bookViews>
  <sheets>
    <sheet name="D_pole_class" sheetId="1" r:id="rId1"/>
  </sheets>
  <definedNames>
    <definedName name="a" localSheetId="0">D_pole_class!$A$3</definedName>
    <definedName name="a">#REF!</definedName>
    <definedName name="diam" localSheetId="0">D_pole_class!$A$3</definedName>
    <definedName name="door" localSheetId="0">D_pole_class!#REF!</definedName>
    <definedName name="door">#REF!</definedName>
    <definedName name="Eave_height" localSheetId="0">D_pole_class!$A$6</definedName>
    <definedName name="eheight" localSheetId="0">D_pole_class!$C$3</definedName>
    <definedName name="eheight">#REF!</definedName>
    <definedName name="Height" localSheetId="0">D_pole_class!$C$6</definedName>
    <definedName name="high" localSheetId="0">D_pole_class!$B$3</definedName>
    <definedName name="high">#REF!</definedName>
    <definedName name="high1">#REF!</definedName>
    <definedName name="length">D_pole_class!$B$3</definedName>
    <definedName name="ring" localSheetId="0">D_pole_class!$E$6</definedName>
    <definedName name="sheet" localSheetId="0">D_pole_class!$D$6</definedName>
    <definedName name="wide" localSheetId="0">D_pole_class!$A$3</definedName>
    <definedName name="wide">#REF!</definedName>
    <definedName name="wide1">#REF!</definedName>
    <definedName name="wide2">D_pole_class!$A$3</definedName>
  </definedNames>
  <calcPr calcId="152511"/>
</workbook>
</file>

<file path=xl/calcChain.xml><?xml version="1.0" encoding="utf-8"?>
<calcChain xmlns="http://schemas.openxmlformats.org/spreadsheetml/2006/main">
  <c r="L24" i="1" l="1"/>
  <c r="L21" i="1"/>
  <c r="L20" i="1"/>
  <c r="P26" i="1"/>
  <c r="Q26" i="1" s="1"/>
  <c r="L26" i="1"/>
  <c r="P17" i="1"/>
  <c r="Q17" i="1" s="1"/>
  <c r="P16" i="1"/>
  <c r="Q16" i="1" s="1"/>
  <c r="L16" i="1"/>
  <c r="R26" i="1" l="1"/>
  <c r="R16" i="1"/>
  <c r="L12" i="1" l="1"/>
  <c r="E4" i="1" l="1"/>
  <c r="K4" i="1"/>
  <c r="M4" i="1" s="1"/>
  <c r="P12" i="1" s="1"/>
  <c r="Q12" i="1" s="1"/>
  <c r="AJ1" i="1"/>
  <c r="AM1" i="1"/>
  <c r="AT1" i="1"/>
  <c r="AU12" i="1" s="1"/>
  <c r="J3" i="1" s="1"/>
  <c r="AV79" i="1"/>
  <c r="AV80" i="1" s="1"/>
  <c r="AV81" i="1" s="1"/>
  <c r="AV82" i="1" s="1"/>
  <c r="AV83" i="1" s="1"/>
  <c r="AV84" i="1" s="1"/>
  <c r="AV85" i="1" s="1"/>
  <c r="AV86" i="1" s="1"/>
  <c r="AV87" i="1" s="1"/>
  <c r="AN72" i="1"/>
  <c r="AV69" i="1"/>
  <c r="AV70" i="1" s="1"/>
  <c r="AV71" i="1" s="1"/>
  <c r="AV72" i="1" s="1"/>
  <c r="AV73" i="1" s="1"/>
  <c r="AV74" i="1" s="1"/>
  <c r="AV75" i="1" s="1"/>
  <c r="AV76" i="1" s="1"/>
  <c r="AV77" i="1" s="1"/>
  <c r="AV64" i="1"/>
  <c r="AV65" i="1" s="1"/>
  <c r="AV66" i="1" s="1"/>
  <c r="AV67" i="1" s="1"/>
  <c r="AL63" i="1"/>
  <c r="AL64" i="1" s="1"/>
  <c r="AN62" i="1"/>
  <c r="AV59" i="1"/>
  <c r="AV60" i="1" s="1"/>
  <c r="AV61" i="1" s="1"/>
  <c r="AV62" i="1" s="1"/>
  <c r="AV54" i="1"/>
  <c r="AV55" i="1" s="1"/>
  <c r="AV56" i="1" s="1"/>
  <c r="AV57" i="1" s="1"/>
  <c r="AL53" i="1"/>
  <c r="AL54" i="1" s="1"/>
  <c r="AN52" i="1"/>
  <c r="AV49" i="1"/>
  <c r="AV50" i="1" s="1"/>
  <c r="AV51" i="1" s="1"/>
  <c r="AV52" i="1" s="1"/>
  <c r="AV44" i="1"/>
  <c r="AV45" i="1" s="1"/>
  <c r="AV46" i="1" s="1"/>
  <c r="AV47" i="1" s="1"/>
  <c r="AL43" i="1"/>
  <c r="AN43" i="1" s="1"/>
  <c r="AN42" i="1"/>
  <c r="AV39" i="1"/>
  <c r="AV40" i="1" s="1"/>
  <c r="AV41" i="1" s="1"/>
  <c r="AV42" i="1" s="1"/>
  <c r="AV33" i="1"/>
  <c r="AV34" i="1" s="1"/>
  <c r="AV35" i="1" s="1"/>
  <c r="AV36" i="1" s="1"/>
  <c r="AV37" i="1" s="1"/>
  <c r="AV31" i="1"/>
  <c r="AV29" i="1"/>
  <c r="AV27" i="1"/>
  <c r="AN26" i="1"/>
  <c r="AN16" i="1"/>
  <c r="AJ2" i="1"/>
  <c r="R12" i="1" l="1"/>
  <c r="AN63" i="1"/>
  <c r="AL55" i="1"/>
  <c r="AN54" i="1"/>
  <c r="AL65" i="1"/>
  <c r="AN64" i="1"/>
  <c r="AI6" i="1"/>
  <c r="AK11" i="1" s="1"/>
  <c r="AK12" i="1" s="1"/>
  <c r="I3" i="1" s="1"/>
  <c r="AU11" i="1"/>
  <c r="AL44" i="1"/>
  <c r="AN53" i="1"/>
  <c r="AL45" i="1" l="1"/>
  <c r="AN44" i="1"/>
  <c r="AL66" i="1"/>
  <c r="AN65" i="1"/>
  <c r="AL56" i="1"/>
  <c r="AN55" i="1"/>
  <c r="AL57" i="1" l="1"/>
  <c r="AN56" i="1"/>
  <c r="AL67" i="1"/>
  <c r="AN66" i="1"/>
  <c r="AL46" i="1"/>
  <c r="AN45" i="1"/>
  <c r="AL68" i="1" l="1"/>
  <c r="AN67" i="1"/>
  <c r="AL58" i="1"/>
  <c r="AN57" i="1"/>
  <c r="AL47" i="1"/>
  <c r="AN46" i="1"/>
  <c r="AL48" i="1" l="1"/>
  <c r="AN47" i="1"/>
  <c r="AL59" i="1"/>
  <c r="AN58" i="1"/>
  <c r="AN68" i="1"/>
  <c r="AL69" i="1"/>
  <c r="AL60" i="1" l="1"/>
  <c r="AN59" i="1"/>
  <c r="AN48" i="1"/>
  <c r="AL49" i="1"/>
  <c r="AL70" i="1"/>
  <c r="AN69" i="1"/>
  <c r="AL71" i="1" l="1"/>
  <c r="AN71" i="1" s="1"/>
  <c r="AN70" i="1"/>
  <c r="AL61" i="1"/>
  <c r="AN61" i="1" s="1"/>
  <c r="AN60" i="1"/>
  <c r="AL50" i="1"/>
  <c r="AN49" i="1"/>
  <c r="AL27" i="1" l="1"/>
  <c r="AL51" i="1"/>
  <c r="AN51" i="1" s="1"/>
  <c r="AN50" i="1"/>
  <c r="L25" i="1"/>
  <c r="P18" i="1"/>
  <c r="P15" i="1"/>
  <c r="Q15" i="1" s="1"/>
  <c r="P14" i="1"/>
  <c r="L15" i="1"/>
  <c r="L14" i="1"/>
  <c r="Q18" i="1" l="1"/>
  <c r="AL28" i="1"/>
  <c r="AN27" i="1"/>
  <c r="R15" i="1"/>
  <c r="R14" i="1"/>
  <c r="Q14" i="1"/>
  <c r="N3" i="1"/>
  <c r="P11" i="1"/>
  <c r="P21" i="1" l="1"/>
  <c r="Q21" i="1" s="1"/>
  <c r="E5" i="1"/>
  <c r="AN28" i="1"/>
  <c r="AL29" i="1"/>
  <c r="P13" i="1"/>
  <c r="P22" i="1"/>
  <c r="K3" i="1"/>
  <c r="M3" i="1" s="1"/>
  <c r="Q11" i="1"/>
  <c r="B8" i="1" s="1"/>
  <c r="N141" i="1"/>
  <c r="B140" i="1"/>
  <c r="N140" i="1"/>
  <c r="B139" i="1"/>
  <c r="N139" i="1"/>
  <c r="B138" i="1"/>
  <c r="N138" i="1"/>
  <c r="B137" i="1"/>
  <c r="N137" i="1"/>
  <c r="B136" i="1"/>
  <c r="N136" i="1"/>
  <c r="B135" i="1"/>
  <c r="N135" i="1"/>
  <c r="B134" i="1"/>
  <c r="N134" i="1"/>
  <c r="B133" i="1"/>
  <c r="N133" i="1"/>
  <c r="B132" i="1"/>
  <c r="N132" i="1"/>
  <c r="B131" i="1"/>
  <c r="N131" i="1"/>
  <c r="B130" i="1"/>
  <c r="N130" i="1"/>
  <c r="B129" i="1"/>
  <c r="N129" i="1"/>
  <c r="B128" i="1"/>
  <c r="N128" i="1"/>
  <c r="B127" i="1"/>
  <c r="N127" i="1"/>
  <c r="B126" i="1"/>
  <c r="N126" i="1"/>
  <c r="B125" i="1"/>
  <c r="N125" i="1"/>
  <c r="B124" i="1"/>
  <c r="N124" i="1"/>
  <c r="B123" i="1"/>
  <c r="N123" i="1"/>
  <c r="B122" i="1"/>
  <c r="N122" i="1"/>
  <c r="B121" i="1"/>
  <c r="N121" i="1"/>
  <c r="B120" i="1"/>
  <c r="N120" i="1"/>
  <c r="B119" i="1"/>
  <c r="N119" i="1"/>
  <c r="B118" i="1"/>
  <c r="N118" i="1"/>
  <c r="B117" i="1"/>
  <c r="N117" i="1"/>
  <c r="B116" i="1"/>
  <c r="N116" i="1"/>
  <c r="B115" i="1"/>
  <c r="N115" i="1"/>
  <c r="B114" i="1"/>
  <c r="N114" i="1"/>
  <c r="B113" i="1"/>
  <c r="N113" i="1"/>
  <c r="B112" i="1"/>
  <c r="N112" i="1"/>
  <c r="B111" i="1"/>
  <c r="N111" i="1"/>
  <c r="B110" i="1"/>
  <c r="N110" i="1"/>
  <c r="B109" i="1"/>
  <c r="N109" i="1"/>
  <c r="B108" i="1"/>
  <c r="N108" i="1"/>
  <c r="B107" i="1"/>
  <c r="N107" i="1"/>
  <c r="B106" i="1"/>
  <c r="N106" i="1"/>
  <c r="B105" i="1"/>
  <c r="N105" i="1"/>
  <c r="B104" i="1"/>
  <c r="N104" i="1"/>
  <c r="B103" i="1"/>
  <c r="N103" i="1"/>
  <c r="B102" i="1"/>
  <c r="N102" i="1"/>
  <c r="B101" i="1"/>
  <c r="N101" i="1"/>
  <c r="B100" i="1"/>
  <c r="N100" i="1"/>
  <c r="B99" i="1"/>
  <c r="N99" i="1"/>
  <c r="B98" i="1"/>
  <c r="N98" i="1"/>
  <c r="B97" i="1"/>
  <c r="N97" i="1"/>
  <c r="B96" i="1"/>
  <c r="N96" i="1"/>
  <c r="B95" i="1"/>
  <c r="N95" i="1"/>
  <c r="B94" i="1"/>
  <c r="N94" i="1"/>
  <c r="B93" i="1"/>
  <c r="N93" i="1"/>
  <c r="B92" i="1"/>
  <c r="N92" i="1"/>
  <c r="B91" i="1"/>
  <c r="N91" i="1"/>
  <c r="B90" i="1"/>
  <c r="N90" i="1"/>
  <c r="B89" i="1"/>
  <c r="N89" i="1"/>
  <c r="B88" i="1"/>
  <c r="N88" i="1"/>
  <c r="B87" i="1"/>
  <c r="N87" i="1"/>
  <c r="B86" i="1"/>
  <c r="N86" i="1"/>
  <c r="B85" i="1"/>
  <c r="N85" i="1"/>
  <c r="B84" i="1"/>
  <c r="N84" i="1"/>
  <c r="B83" i="1"/>
  <c r="N83" i="1"/>
  <c r="B82" i="1"/>
  <c r="N82" i="1"/>
  <c r="B81" i="1"/>
  <c r="N81" i="1"/>
  <c r="B80" i="1"/>
  <c r="N80" i="1"/>
  <c r="B79" i="1"/>
  <c r="N79" i="1"/>
  <c r="B78" i="1"/>
  <c r="N78" i="1"/>
  <c r="B77" i="1"/>
  <c r="N77" i="1"/>
  <c r="B76" i="1"/>
  <c r="N76" i="1"/>
  <c r="B75" i="1"/>
  <c r="N75" i="1"/>
  <c r="B74" i="1"/>
  <c r="N74" i="1"/>
  <c r="B73" i="1"/>
  <c r="N73" i="1"/>
  <c r="B72" i="1"/>
  <c r="N72" i="1"/>
  <c r="B71" i="1"/>
  <c r="N71" i="1"/>
  <c r="B70" i="1"/>
  <c r="N70" i="1"/>
  <c r="B69" i="1"/>
  <c r="N69" i="1"/>
  <c r="B68" i="1"/>
  <c r="N68" i="1"/>
  <c r="B67" i="1"/>
  <c r="N67" i="1"/>
  <c r="B66" i="1"/>
  <c r="N66" i="1"/>
  <c r="B65" i="1"/>
  <c r="N65" i="1"/>
  <c r="B64" i="1"/>
  <c r="N64" i="1"/>
  <c r="B63" i="1"/>
  <c r="N63" i="1"/>
  <c r="B62" i="1"/>
  <c r="N62" i="1"/>
  <c r="B61" i="1"/>
  <c r="N61" i="1"/>
  <c r="B60" i="1"/>
  <c r="N60" i="1"/>
  <c r="B59" i="1"/>
  <c r="N59" i="1"/>
  <c r="B58" i="1"/>
  <c r="N58" i="1"/>
  <c r="B57" i="1"/>
  <c r="N57" i="1"/>
  <c r="B56" i="1"/>
  <c r="N56" i="1"/>
  <c r="B55" i="1"/>
  <c r="N55" i="1"/>
  <c r="B54" i="1"/>
  <c r="N54" i="1"/>
  <c r="B53" i="1"/>
  <c r="N53" i="1"/>
  <c r="B52" i="1"/>
  <c r="N52" i="1"/>
  <c r="B51" i="1"/>
  <c r="N51" i="1"/>
  <c r="B50" i="1"/>
  <c r="N50" i="1"/>
  <c r="B49" i="1"/>
  <c r="N49" i="1"/>
  <c r="B48" i="1"/>
  <c r="N48" i="1"/>
  <c r="B47" i="1"/>
  <c r="N47" i="1"/>
  <c r="B46" i="1"/>
  <c r="N46" i="1"/>
  <c r="B45" i="1"/>
  <c r="N45" i="1"/>
  <c r="B44" i="1"/>
  <c r="N44" i="1"/>
  <c r="B43" i="1"/>
  <c r="N43" i="1"/>
  <c r="B42" i="1"/>
  <c r="N42" i="1"/>
  <c r="B41" i="1"/>
  <c r="N41" i="1"/>
  <c r="B40" i="1"/>
  <c r="N40" i="1"/>
  <c r="B39" i="1"/>
  <c r="N39" i="1"/>
  <c r="B38" i="1"/>
  <c r="N38" i="1"/>
  <c r="B37" i="1"/>
  <c r="N37" i="1"/>
  <c r="B36" i="1"/>
  <c r="N36" i="1"/>
  <c r="B35" i="1"/>
  <c r="N35" i="1"/>
  <c r="B34" i="1"/>
  <c r="N34" i="1"/>
  <c r="B33" i="1"/>
  <c r="N33" i="1"/>
  <c r="B32" i="1"/>
  <c r="N32" i="1"/>
  <c r="B31" i="1"/>
  <c r="P27" i="1"/>
  <c r="Q27" i="1" s="1"/>
  <c r="L27" i="1"/>
  <c r="P24" i="1"/>
  <c r="Q24" i="1" s="1"/>
  <c r="P23" i="1"/>
  <c r="L23" i="1"/>
  <c r="L22" i="1"/>
  <c r="P20" i="1"/>
  <c r="P19" i="1"/>
  <c r="L19" i="1"/>
  <c r="L18" i="1"/>
  <c r="R18" i="1" s="1"/>
  <c r="Y16" i="1"/>
  <c r="L17" i="1"/>
  <c r="R17" i="1" s="1"/>
  <c r="L13" i="1"/>
  <c r="L11" i="1"/>
  <c r="R11" i="1" s="1"/>
  <c r="B7" i="1" s="1"/>
  <c r="R21" i="1" l="1"/>
  <c r="P25" i="1"/>
  <c r="Q25" i="1" s="1"/>
  <c r="R23" i="1"/>
  <c r="Q23" i="1"/>
  <c r="Q20" i="1"/>
  <c r="R20" i="1"/>
  <c r="Q19" i="1"/>
  <c r="R19" i="1"/>
  <c r="R22" i="1"/>
  <c r="Q22" i="1"/>
  <c r="Q13" i="1"/>
  <c r="C8" i="1" s="1"/>
  <c r="R13" i="1"/>
  <c r="C7" i="1" s="1"/>
  <c r="AL30" i="1"/>
  <c r="AN29" i="1"/>
  <c r="R24" i="1"/>
  <c r="R27" i="1"/>
  <c r="R25" i="1" l="1"/>
  <c r="D7" i="1" s="1"/>
  <c r="E7" i="1" s="1"/>
  <c r="F7" i="1" s="1"/>
  <c r="D8" i="1"/>
  <c r="E8" i="1" s="1"/>
  <c r="F8" i="1" s="1"/>
  <c r="AL31" i="1"/>
  <c r="AN30" i="1"/>
  <c r="I7" i="1" l="1"/>
  <c r="AL32" i="1"/>
  <c r="AN31" i="1"/>
  <c r="AN32" i="1" l="1"/>
  <c r="AL33" i="1"/>
  <c r="H7" i="1"/>
  <c r="I8" i="1" l="1"/>
  <c r="H8" i="1"/>
  <c r="AL34" i="1"/>
  <c r="AN33" i="1"/>
  <c r="AL35" i="1" l="1"/>
  <c r="AN34" i="1"/>
  <c r="AL36" i="1" l="1"/>
  <c r="AN35" i="1"/>
  <c r="AL37" i="1" l="1"/>
  <c r="AN36" i="1"/>
  <c r="AL38" i="1" l="1"/>
  <c r="AN37" i="1"/>
  <c r="AL39" i="1" l="1"/>
  <c r="AN38" i="1"/>
  <c r="AL40" i="1" l="1"/>
  <c r="AN39" i="1"/>
  <c r="AL41" i="1" l="1"/>
  <c r="AN41" i="1" s="1"/>
  <c r="AN40" i="1"/>
  <c r="AL17" i="1"/>
  <c r="AN17" i="1" l="1"/>
  <c r="AL18" i="1"/>
  <c r="AN18" i="1" l="1"/>
  <c r="AL19" i="1"/>
  <c r="AN19" i="1" l="1"/>
  <c r="AL20" i="1"/>
  <c r="AN20" i="1" l="1"/>
  <c r="AL21" i="1"/>
  <c r="AN21" i="1" l="1"/>
  <c r="AL22" i="1"/>
  <c r="AN22" i="1" l="1"/>
  <c r="AL23" i="1"/>
  <c r="AN23" i="1" l="1"/>
  <c r="AL24" i="1"/>
  <c r="AN24" i="1" l="1"/>
  <c r="AL25" i="1"/>
  <c r="AN25" i="1" s="1"/>
</calcChain>
</file>

<file path=xl/comments1.xml><?xml version="1.0" encoding="utf-8"?>
<comments xmlns="http://schemas.openxmlformats.org/spreadsheetml/2006/main">
  <authors>
    <author>byounl</author>
  </authors>
  <commentList>
    <comment ref="I2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RS means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Michigan manual
http://www.michigan.gov/documents/Vol2-19Cal232-243Warehouses_121057_7.pdf.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cubic foot= 0.037037037 cubic yard
</t>
        </r>
      </text>
    </comment>
    <comment ref="K4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concrete floor
</t>
        </r>
      </text>
    </comment>
    <comment ref="M5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cubic foot= 0.037037037 cubic yard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RSMeans 2009
'facilities Construction cost data' ,part Number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RSMeans 2009
'facilities Construction cost data' ,part Number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RSMeans 2006
'Building Construction cost data' , part No.5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Post No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eave height +4  ; 4'  is footing deep</t>
        </r>
      </text>
    </comment>
    <comment ref="R13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eave height +4  ; 4'  is footing deep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is for back siding
2 is for siding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is for back siding
2 is for siding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is for back siding
2 is for siding</t>
        </r>
      </text>
    </comment>
    <comment ref="P17" authorId="0" shapeId="0">
      <text>
        <r>
          <rPr>
            <b/>
            <sz val="8"/>
            <color indexed="81"/>
            <rFont val="Tahoma"/>
            <family val="2"/>
          </rPr>
          <t>byounl:</t>
        </r>
        <r>
          <rPr>
            <sz val="8"/>
            <color indexed="81"/>
            <rFont val="Tahoma"/>
            <family val="2"/>
          </rPr>
          <t xml:space="preserve">
1 is for back siding
2 is for siding</t>
        </r>
      </text>
    </comment>
  </commentList>
</comments>
</file>

<file path=xl/sharedStrings.xml><?xml version="1.0" encoding="utf-8"?>
<sst xmlns="http://schemas.openxmlformats.org/spreadsheetml/2006/main" count="408" uniqueCount="375">
  <si>
    <t>Angle of repose</t>
  </si>
  <si>
    <t>Width (')</t>
  </si>
  <si>
    <t>current index
(2009=100)</t>
  </si>
  <si>
    <t>Class</t>
  </si>
  <si>
    <t>C.F.(cubic foot)</t>
  </si>
  <si>
    <t>C.Y.</t>
  </si>
  <si>
    <t>back</t>
  </si>
  <si>
    <t>4 in 12 slope</t>
  </si>
  <si>
    <t>Dpole</t>
  </si>
  <si>
    <t>front</t>
  </si>
  <si>
    <t>wall</t>
  </si>
  <si>
    <t>Roof</t>
  </si>
  <si>
    <t>Total cost</t>
  </si>
  <si>
    <t>S.F. cost</t>
  </si>
  <si>
    <t>total</t>
  </si>
  <si>
    <t>Bare costs</t>
  </si>
  <si>
    <t>Total INCL O&amp;P</t>
  </si>
  <si>
    <t>part</t>
  </si>
  <si>
    <t>unit</t>
  </si>
  <si>
    <t>level 5</t>
  </si>
  <si>
    <t>Material</t>
  </si>
  <si>
    <t>Labor</t>
  </si>
  <si>
    <t>Equipment</t>
  </si>
  <si>
    <t>total ($)</t>
  </si>
  <si>
    <t>Total incl O&amp;P</t>
  </si>
  <si>
    <t>required</t>
  </si>
  <si>
    <t>reference</t>
  </si>
  <si>
    <t>unit required</t>
  </si>
  <si>
    <t>Total (O&amp;P)</t>
  </si>
  <si>
    <t>Bare cost</t>
  </si>
  <si>
    <t>2006 page</t>
  </si>
  <si>
    <t>L.F.</t>
  </si>
  <si>
    <t>Concrete in Place</t>
  </si>
  <si>
    <t>C.Y</t>
  </si>
  <si>
    <t>Wall</t>
  </si>
  <si>
    <t>siding Panel</t>
  </si>
  <si>
    <t>S.F.</t>
  </si>
  <si>
    <t>siding</t>
  </si>
  <si>
    <t>Corrugated. 0.019" thick painted, steel</t>
  </si>
  <si>
    <t>frame</t>
  </si>
  <si>
    <t>roof beam</t>
  </si>
  <si>
    <t>2 X 8 single wood</t>
  </si>
  <si>
    <t>height/12</t>
  </si>
  <si>
    <t>2 X 6 wood</t>
  </si>
  <si>
    <t>depend on repose</t>
  </si>
  <si>
    <t>1/16"</t>
  </si>
  <si>
    <t>4 X 6 wood joist</t>
  </si>
  <si>
    <t>wide level</t>
  </si>
  <si>
    <t>ridge board</t>
  </si>
  <si>
    <t>purins</t>
  </si>
  <si>
    <t>rafter length &amp; length</t>
  </si>
  <si>
    <t>roofing panel</t>
  </si>
  <si>
    <t xml:space="preserve">steel </t>
  </si>
  <si>
    <t>roof area</t>
  </si>
  <si>
    <t>=IF((TAN(O2*PI()/180)*((wide/2)-(16*1/12)))&gt;0,(TAN(O2*PI()/180)*((wide/2)-(16*1/12))),0)</t>
  </si>
  <si>
    <t>=IF((TAN(O3*PI()/180)*(wide/2-(16*1/12)))&gt;0,(TAN(O3*PI()/180)*(wide/2-(16*1/12))),0)</t>
  </si>
  <si>
    <t>=IF((TAN(O2*PI()/180)*((wide/2)-(16*2/12)))&gt;0,(TAN(O2*PI()/180)*((wide/2)-(16*2/12))),0)</t>
  </si>
  <si>
    <t>=IF((TAN(O3*PI()/180)*(wide/2-(16*2/12)))&gt;0,(TAN(O3*PI()/180)*(wide/2-(16*2/12))),0)</t>
  </si>
  <si>
    <t>=IF((TAN(O2*PI()/180)*((wide/2)-(16*3/12)))&gt;0,(TAN(O2*PI()/180)*((wide/2)-(16*3/12))),0)</t>
  </si>
  <si>
    <t>=IF((TAN(O3*PI()/180)*(wide/2-(16*3/12)))&gt;0,(TAN(O3*PI()/180)*(wide/2-(16*3/12))),0)</t>
  </si>
  <si>
    <t>=IF((TAN(O2*PI()/180)*((wide/2)-(16*4/12)))&gt;0,(TAN(O2*PI()/180)*((wide/2)-(16*4/12))),0)</t>
  </si>
  <si>
    <t>=IF((TAN(O3*PI()/180)*(wide/2-(16*4/12)))&gt;0,(TAN(O3*PI()/180)*(wide/2-(16*4/12))),0)</t>
  </si>
  <si>
    <t>=IF((TAN(O2*PI()/180)*((wide/2)-(16*5/12)))&gt;0,(TAN(O2*PI()/180)*((wide/2)-(16*5/12))),0)</t>
  </si>
  <si>
    <t>=IF((TAN(O3*PI()/180)*(wide/2-(16*5/12)))&gt;0,(TAN(O3*PI()/180)*(wide/2-(16*5/12))),0)</t>
  </si>
  <si>
    <t>=IF((TAN(O2*PI()/180)*((wide/2)-(16*6/12)))&gt;0,(TAN(O2*PI()/180)*((wide/2)-(16*6/12))),0)</t>
  </si>
  <si>
    <t>=IF((TAN(O3*PI()/180)*(wide/2-(16*6/12)))&gt;0,(TAN(O3*PI()/180)*(wide/2-(16*6/12))),0)</t>
  </si>
  <si>
    <t>=IF((TAN(O2*PI()/180)*((wide/2)-(16*7/12)))&gt;0,(TAN(O2*PI()/180)*((wide/2)-(16*7/12))),0)</t>
  </si>
  <si>
    <t>=IF((TAN(O3*PI()/180)*(wide/2-(16*7/12)))&gt;0,(TAN(O3*PI()/180)*(wide/2-(16*7/12))),0)</t>
  </si>
  <si>
    <t>=IF((TAN(O2*PI()/180)*((wide/2)-(16*8/12)))&gt;0,(TAN(O2*PI()/180)*((wide/2)-(16*8/12))),0)</t>
  </si>
  <si>
    <t>=IF((TAN(O3*PI()/180)*(wide/2-(16*8/12)))&gt;0,(TAN(O3*PI()/180)*(wide/2-(16*8/12))),0)</t>
  </si>
  <si>
    <t>=IF((TAN(O2*PI()/180)*((wide/2)-(16*9/12)))&gt;0,(TAN(O2*PI()/180)*((wide/2)-(16*9/12))),0)</t>
  </si>
  <si>
    <t>=IF((TAN(O3*PI()/180)*(wide/2-(16*9/12)))&gt;0,(TAN(O3*PI()/180)*(wide/2-(16*9/12))),0)</t>
  </si>
  <si>
    <t>=IF((TAN(O2*PI()/180)*((wide/2)-(16*10/12)))&gt;0,(TAN(O2*PI()/180)*((wide/2)-(16*10/12))),0)</t>
  </si>
  <si>
    <t>=IF((TAN(O3*PI()/180)*(wide/2-(16*10/12)))&gt;0,(TAN(O3*PI()/180)*(wide/2-(16*10/12))),0)</t>
  </si>
  <si>
    <t>=IF((TAN(O2*PI()/180)*((wide/2)-(16*11/12)))&gt;0,(TAN(O2*PI()/180)*((wide/2)-(16*11/12))),0)</t>
  </si>
  <si>
    <t>=IF((TAN(O3*PI()/180)*(wide/2-(16*11/12)))&gt;0,(TAN(O3*PI()/180)*(wide/2-(16*11/12))),0)</t>
  </si>
  <si>
    <t>=IF((TAN(O2*PI()/180)*((wide/2)-(16*12/12)))&gt;0,(TAN(O2*PI()/180)*((wide/2)-(16*12/12))),0)</t>
  </si>
  <si>
    <t>=IF((TAN(O3*PI()/180)*(wide/2-(16*12/12)))&gt;0,(TAN(O3*PI()/180)*(wide/2-(16*12/12))),0)</t>
  </si>
  <si>
    <t>=IF((TAN(O2*PI()/180)*((wide/2)-(16*13/12)))&gt;0,(TAN(O2*PI()/180)*((wide/2)-(16*13/12))),0)</t>
  </si>
  <si>
    <t>=IF((TAN(O3*PI()/180)*(wide/2-(16*13/12)))&gt;0,(TAN(O3*PI()/180)*(wide/2-(16*13/12))),0)</t>
  </si>
  <si>
    <t>=IF((TAN(O2*PI()/180)*((wide/2)-(16*14/12)))&gt;0,(TAN(O2*PI()/180)*((wide/2)-(16*14/12))),0)</t>
  </si>
  <si>
    <t>=IF((TAN(O3*PI()/180)*(wide/2-(16*14/12)))&gt;0,(TAN(O3*PI()/180)*(wide/2-(16*14/12))),0)</t>
  </si>
  <si>
    <t>=IF((TAN(O2*PI()/180)*((wide/2)-(16*15/12)))&gt;0,(TAN(O2*PI()/180)*((wide/2)-(16*15/12))),0)</t>
  </si>
  <si>
    <t>=IF((TAN(O3*PI()/180)*(wide/2-(16*15/12)))&gt;0,(TAN(O3*PI()/180)*(wide/2-(16*15/12))),0)</t>
  </si>
  <si>
    <t>=IF((TAN(O2*PI()/180)*((wide/2)-(16*16/12)))&gt;0,(TAN(O2*PI()/180)*((wide/2)-(16*16/12))),0)</t>
  </si>
  <si>
    <t>=IF((TAN(O3*PI()/180)*(wide/2-(16*16/12)))&gt;0,(TAN(O3*PI()/180)*(wide/2-(16*16/12))),0)</t>
  </si>
  <si>
    <t>=IF((TAN(O2*PI()/180)*((wide/2)-(16*17/12)))&gt;0,(TAN(O2*PI()/180)*((wide/2)-(16*17/12))),0)</t>
  </si>
  <si>
    <t>=IF((TAN(O3*PI()/180)*(wide/2-(16*17/12)))&gt;0,(TAN(O3*PI()/180)*(wide/2-(16*17/12))),0)</t>
  </si>
  <si>
    <t>=IF((TAN(O2*PI()/180)*((wide/2)-(16*18/12)))&gt;0,(TAN(O2*PI()/180)*((wide/2)-(16*18/12))),0)</t>
  </si>
  <si>
    <t>=IF((TAN(O3*PI()/180)*(wide/2-(16*18/12)))&gt;0,(TAN(O3*PI()/180)*(wide/2-(16*18/12))),0)</t>
  </si>
  <si>
    <t>=IF((TAN(O2*PI()/180)*((wide/2)-(16*19/12)))&gt;0,(TAN(O2*PI()/180)*((wide/2)-(16*19/12))),0)</t>
  </si>
  <si>
    <t>=IF((TAN(O3*PI()/180)*(wide/2-(16*19/12)))&gt;0,(TAN(O3*PI()/180)*(wide/2-(16*19/12))),0)</t>
  </si>
  <si>
    <t>=IF((TAN(O2*PI()/180)*((wide/2)-(16*20/12)))&gt;0,(TAN(O2*PI()/180)*((wide/2)-(16*20/12))),0)</t>
  </si>
  <si>
    <t>=IF((TAN(O3*PI()/180)*(wide/2-(16*20/12)))&gt;0,(TAN(O3*PI()/180)*(wide/2-(16*20/12))),0)</t>
  </si>
  <si>
    <t>=IF((TAN(O2*PI()/180)*((wide/2)-(16*21/12)))&gt;0,(TAN(O2*PI()/180)*((wide/2)-(16*21/12))),0)</t>
  </si>
  <si>
    <t>=IF((TAN(O3*PI()/180)*(wide/2-(16*21/12)))&gt;0,(TAN(O3*PI()/180)*(wide/2-(16*21/12))),0)</t>
  </si>
  <si>
    <t>=IF((TAN(O2*PI()/180)*((wide/2)-(16*22/12)))&gt;0,(TAN(O2*PI()/180)*((wide/2)-(16*22/12))),0)</t>
  </si>
  <si>
    <t>=IF((TAN(O3*PI()/180)*(wide/2-(16*22/12)))&gt;0,(TAN(O3*PI()/180)*(wide/2-(16*22/12))),0)</t>
  </si>
  <si>
    <t>=IF((TAN(O2*PI()/180)*((wide/2)-(16*23/12)))&gt;0,(TAN(O2*PI()/180)*((wide/2)-(16*23/12))),0)</t>
  </si>
  <si>
    <t>=IF((TAN(O3*PI()/180)*(wide/2-(16*23/12)))&gt;0,(TAN(O3*PI()/180)*(wide/2-(16*23/12))),0)</t>
  </si>
  <si>
    <t>=IF((TAN(O2*PI()/180)*((wide/2)-(16*24/12)))&gt;0,(TAN(O2*PI()/180)*((wide/2)-(16*24/12))),0)</t>
  </si>
  <si>
    <t>=IF((TAN(O3*PI()/180)*(wide/2-(16*24/12)))&gt;0,(TAN(O3*PI()/180)*(wide/2-(16*24/12))),0)</t>
  </si>
  <si>
    <t>=IF((TAN(O2*PI()/180)*((wide/2)-(16*25/12)))&gt;0,(TAN(O2*PI()/180)*((wide/2)-(16*25/12))),0)</t>
  </si>
  <si>
    <t>=IF((TAN(O3*PI()/180)*(wide/2-(16*25/12)))&gt;0,(TAN(O3*PI()/180)*(wide/2-(16*25/12))),0)</t>
  </si>
  <si>
    <t>=IF((TAN(O2*PI()/180)*((wide/2)-(16*26/12)))&gt;0,(TAN(O2*PI()/180)*((wide/2)-(16*26/12))),0)</t>
  </si>
  <si>
    <t>=IF((TAN(O3*PI()/180)*(wide/2-(16*26/12)))&gt;0,(TAN(O3*PI()/180)*(wide/2-(16*26/12))),0)</t>
  </si>
  <si>
    <t>=IF((TAN(O2*PI()/180)*((wide/2)-(16*27/12)))&gt;0,(TAN(O2*PI()/180)*((wide/2)-(16*27/12))),0)</t>
  </si>
  <si>
    <t>=IF((TAN(O3*PI()/180)*(wide/2-(16*27/12)))&gt;0,(TAN(O3*PI()/180)*(wide/2-(16*27/12))),0)</t>
  </si>
  <si>
    <t>=IF((TAN(O2*PI()/180)*((wide/2)-(16*28/12)))&gt;0,(TAN(O2*PI()/180)*((wide/2)-(16*28/12))),0)</t>
  </si>
  <si>
    <t>=IF((TAN(O3*PI()/180)*(wide/2-(16*28/12)))&gt;0,(TAN(O3*PI()/180)*(wide/2-(16*28/12))),0)</t>
  </si>
  <si>
    <t>=IF((TAN(O2*PI()/180)*((wide/2)-(16*29/12)))&gt;0,(TAN(O2*PI()/180)*((wide/2)-(16*29/12))),0)</t>
  </si>
  <si>
    <t>=IF((TAN(O3*PI()/180)*(wide/2-(16*29/12)))&gt;0,(TAN(O3*PI()/180)*(wide/2-(16*29/12))),0)</t>
  </si>
  <si>
    <t>=IF((TAN(O2*PI()/180)*((wide/2)-(16*30/12)))&gt;0,(TAN(O2*PI()/180)*((wide/2)-(16*30/12))),0)</t>
  </si>
  <si>
    <t>=IF((TAN(O3*PI()/180)*(wide/2-(16*30/12)))&gt;0,(TAN(O3*PI()/180)*(wide/2-(16*30/12))),0)</t>
  </si>
  <si>
    <t>=IF((TAN(O2*PI()/180)*((wide/2)-(16*31/12)))&gt;0,(TAN(O2*PI()/180)*((wide/2)-(16*31/12))),0)</t>
  </si>
  <si>
    <t>=IF((TAN(O3*PI()/180)*(wide/2-(16*31/12)))&gt;0,(TAN(O3*PI()/180)*(wide/2-(16*31/12))),0)</t>
  </si>
  <si>
    <t>=IF((TAN(O2*PI()/180)*((wide/2)-(16*32/12)))&gt;0,(TAN(O2*PI()/180)*((wide/2)-(16*32/12))),0)</t>
  </si>
  <si>
    <t>=IF((TAN(O3*PI()/180)*(wide/2-(16*32/12)))&gt;0,(TAN(O3*PI()/180)*(wide/2-(16*32/12))),0)</t>
  </si>
  <si>
    <t>=IF((TAN(O2*PI()/180)*((wide/2)-(16*33/12)))&gt;0,(TAN(O2*PI()/180)*((wide/2)-(16*33/12))),0)</t>
  </si>
  <si>
    <t>=IF((TAN(O3*PI()/180)*(wide/2-(16*33/12)))&gt;0,(TAN(O3*PI()/180)*(wide/2-(16*33/12))),0)</t>
  </si>
  <si>
    <t>=IF((TAN(O2*PI()/180)*((wide/2)-(16*34/12)))&gt;0,(TAN(O2*PI()/180)*((wide/2)-(16*34/12))),0)</t>
  </si>
  <si>
    <t>=IF((TAN(O3*PI()/180)*(wide/2-(16*34/12)))&gt;0,(TAN(O3*PI()/180)*(wide/2-(16*34/12))),0)</t>
  </si>
  <si>
    <t>=IF((TAN(O2*PI()/180)*((wide/2)-(16*35/12)))&gt;0,(TAN(O2*PI()/180)*((wide/2)-(16*35/12))),0)</t>
  </si>
  <si>
    <t>=IF((TAN(O3*PI()/180)*(wide/2-(16*35/12)))&gt;0,(TAN(O3*PI()/180)*(wide/2-(16*35/12))),0)</t>
  </si>
  <si>
    <t>=IF((TAN(O2*PI()/180)*((wide/2)-(16*36/12)))&gt;0,(TAN(O2*PI()/180)*((wide/2)-(16*36/12))),0)</t>
  </si>
  <si>
    <t>=IF((TAN(O3*PI()/180)*(wide/2-(16*36/12)))&gt;0,(TAN(O3*PI()/180)*(wide/2-(16*36/12))),0)</t>
  </si>
  <si>
    <t>=IF((TAN(O2*PI()/180)*((wide/2)-(16*37/12)))&gt;0,(TAN(O2*PI()/180)*((wide/2)-(16*37/12))),0)</t>
  </si>
  <si>
    <t>=IF((TAN(O3*PI()/180)*(wide/2-(16*37/12)))&gt;0,(TAN(O3*PI()/180)*(wide/2-(16*37/12))),0)</t>
  </si>
  <si>
    <t>=IF((TAN(O2*PI()/180)*((wide/2)-(16*38/12)))&gt;0,(TAN(O2*PI()/180)*((wide/2)-(16*38/12))),0)</t>
  </si>
  <si>
    <t>=IF((TAN(O3*PI()/180)*(wide/2-(16*38/12)))&gt;0,(TAN(O3*PI()/180)*(wide/2-(16*38/12))),0)</t>
  </si>
  <si>
    <t>=IF((TAN(O2*PI()/180)*((wide/2)-(16*39/12)))&gt;0,(TAN(O2*PI()/180)*((wide/2)-(16*39/12))),0)</t>
  </si>
  <si>
    <t>=IF((TAN(O3*PI()/180)*(wide/2-(16*39/12)))&gt;0,(TAN(O3*PI()/180)*(wide/2-(16*39/12))),0)</t>
  </si>
  <si>
    <t>=IF((TAN(O2*PI()/180)*((wide/2)-(16*40/12)))&gt;0,(TAN(O2*PI()/180)*((wide/2)-(16*40/12))),0)</t>
  </si>
  <si>
    <t>=IF((TAN(O3*PI()/180)*(wide/2-(16*40/12)))&gt;0,(TAN(O3*PI()/180)*(wide/2-(16*40/12))),0)</t>
  </si>
  <si>
    <t>=IF((TAN(O2*PI()/180)*((wide/2)-(16*41/12)))&gt;0,(TAN(O2*PI()/180)*((wide/2)-(16*41/12))),0)</t>
  </si>
  <si>
    <t>=IF((TAN(O3*PI()/180)*(wide/2-(16*41/12)))&gt;0,(TAN(O3*PI()/180)*(wide/2-(16*41/12))),0)</t>
  </si>
  <si>
    <t>=IF((TAN(O2*PI()/180)*((wide/2)-(16*42/12)))&gt;0,(TAN(O2*PI()/180)*((wide/2)-(16*42/12))),0)</t>
  </si>
  <si>
    <t>=IF((TAN(O3*PI()/180)*(wide/2-(16*42/12)))&gt;0,(TAN(O3*PI()/180)*(wide/2-(16*42/12))),0)</t>
  </si>
  <si>
    <t>=IF((TAN(O2*PI()/180)*((wide/2)-(16*43/12)))&gt;0,(TAN(O2*PI()/180)*((wide/2)-(16*43/12))),0)</t>
  </si>
  <si>
    <t>=IF((TAN(O3*PI()/180)*(wide/2-(16*43/12)))&gt;0,(TAN(O3*PI()/180)*(wide/2-(16*43/12))),0)</t>
  </si>
  <si>
    <t>=IF((TAN(O2*PI()/180)*((wide/2)-(16*44/12)))&gt;0,(TAN(O2*PI()/180)*((wide/2)-(16*44/12))),0)</t>
  </si>
  <si>
    <t>=IF((TAN(O3*PI()/180)*(wide/2-(16*44/12)))&gt;0,(TAN(O3*PI()/180)*(wide/2-(16*44/12))),0)</t>
  </si>
  <si>
    <t>=IF((TAN(O2*PI()/180)*((wide/2)-(16*45/12)))&gt;0,(TAN(O2*PI()/180)*((wide/2)-(16*45/12))),0)</t>
  </si>
  <si>
    <t>=IF((TAN(O3*PI()/180)*(wide/2-(16*45/12)))&gt;0,(TAN(O3*PI()/180)*(wide/2-(16*45/12))),0)</t>
  </si>
  <si>
    <t>=IF((TAN(O2*PI()/180)*((wide/2)-(16*46/12)))&gt;0,(TAN(O2*PI()/180)*((wide/2)-(16*46/12))),0)</t>
  </si>
  <si>
    <t>=IF((TAN(O3*PI()/180)*(wide/2-(16*46/12)))&gt;0,(TAN(O3*PI()/180)*(wide/2-(16*46/12))),0)</t>
  </si>
  <si>
    <t>=IF((TAN(O2*PI()/180)*((wide/2)-(16*47/12)))&gt;0,(TAN(O2*PI()/180)*((wide/2)-(16*47/12))),0)</t>
  </si>
  <si>
    <t>=IF((TAN(O3*PI()/180)*(wide/2-(16*47/12)))&gt;0,(TAN(O3*PI()/180)*(wide/2-(16*47/12))),0)</t>
  </si>
  <si>
    <t>=IF((TAN(O2*PI()/180)*((wide/2)-(16*48/12)))&gt;0,(TAN(O2*PI()/180)*((wide/2)-(16*48/12))),0)</t>
  </si>
  <si>
    <t>=IF((TAN(O3*PI()/180)*(wide/2-(16*48/12)))&gt;0,(TAN(O3*PI()/180)*(wide/2-(16*48/12))),0)</t>
  </si>
  <si>
    <t>=IF((TAN(O2*PI()/180)*((wide/2)-(16*49/12)))&gt;0,(TAN(O2*PI()/180)*((wide/2)-(16*49/12))),0)</t>
  </si>
  <si>
    <t>=IF((TAN(O3*PI()/180)*(wide/2-(16*49/12)))&gt;0,(TAN(O3*PI()/180)*(wide/2-(16*49/12))),0)</t>
  </si>
  <si>
    <t>=IF((TAN(O2*PI()/180)*((wide/2)-(16*50/12)))&gt;0,(TAN(O2*PI()/180)*((wide/2)-(16*50/12))),0)</t>
  </si>
  <si>
    <t>=IF((TAN(O3*PI()/180)*(wide/2-(16*50/12)))&gt;0,(TAN(O3*PI()/180)*(wide/2-(16*50/12))),0)</t>
  </si>
  <si>
    <t>=IF((TAN(O2*PI()/180)*((wide/2)-(16*51/12)))&gt;0,(TAN(O2*PI()/180)*((wide/2)-(16*51/12))),0)</t>
  </si>
  <si>
    <t>=IF((TAN(O3*PI()/180)*(wide/2-(16*51/12)))&gt;0,(TAN(O3*PI()/180)*(wide/2-(16*51/12))),0)</t>
  </si>
  <si>
    <t>=IF((TAN(O2*PI()/180)*((wide/2)-(16*52/12)))&gt;0,(TAN(O2*PI()/180)*((wide/2)-(16*52/12))),0)</t>
  </si>
  <si>
    <t>=IF((TAN(O3*PI()/180)*(wide/2-(16*52/12)))&gt;0,(TAN(O3*PI()/180)*(wide/2-(16*52/12))),0)</t>
  </si>
  <si>
    <t>=IF((TAN(O2*PI()/180)*((wide/2)-(16*53/12)))&gt;0,(TAN(O2*PI()/180)*((wide/2)-(16*53/12))),0)</t>
  </si>
  <si>
    <t>=IF((TAN(O3*PI()/180)*(wide/2-(16*53/12)))&gt;0,(TAN(O3*PI()/180)*(wide/2-(16*53/12))),0)</t>
  </si>
  <si>
    <t>=IF((TAN(O2*PI()/180)*((wide/2)-(16*54/12)))&gt;0,(TAN(O2*PI()/180)*((wide/2)-(16*54/12))),0)</t>
  </si>
  <si>
    <t>=IF((TAN(O3*PI()/180)*(wide/2-(16*54/12)))&gt;0,(TAN(O3*PI()/180)*(wide/2-(16*54/12))),0)</t>
  </si>
  <si>
    <t>=IF((TAN(O2*PI()/180)*((wide/2)-(16*55/12)))&gt;0,(TAN(O2*PI()/180)*((wide/2)-(16*55/12))),0)</t>
  </si>
  <si>
    <t>=IF((TAN(O3*PI()/180)*(wide/2-(16*55/12)))&gt;0,(TAN(O3*PI()/180)*(wide/2-(16*55/12))),0)</t>
  </si>
  <si>
    <t>=IF((TAN(O2*PI()/180)*((wide/2)-(16*56/12)))&gt;0,(TAN(O2*PI()/180)*((wide/2)-(16*56/12))),0)</t>
  </si>
  <si>
    <t>=IF((TAN(O3*PI()/180)*(wide/2-(16*56/12)))&gt;0,(TAN(O3*PI()/180)*(wide/2-(16*56/12))),0)</t>
  </si>
  <si>
    <t>=IF((TAN(O2*PI()/180)*((wide/2)-(16*57/12)))&gt;0,(TAN(O2*PI()/180)*((wide/2)-(16*57/12))),0)</t>
  </si>
  <si>
    <t>=IF((TAN(O3*PI()/180)*(wide/2-(16*57/12)))&gt;0,(TAN(O3*PI()/180)*(wide/2-(16*57/12))),0)</t>
  </si>
  <si>
    <t>=IF((TAN(O2*PI()/180)*((wide/2)-(16*58/12)))&gt;0,(TAN(O2*PI()/180)*((wide/2)-(16*58/12))),0)</t>
  </si>
  <si>
    <t>=IF((TAN(O3*PI()/180)*(wide/2-(16*58/12)))&gt;0,(TAN(O3*PI()/180)*(wide/2-(16*58/12))),0)</t>
  </si>
  <si>
    <t>=IF((TAN(O2*PI()/180)*((wide/2)-(16*59/12)))&gt;0,(TAN(O2*PI()/180)*((wide/2)-(16*59/12))),0)</t>
  </si>
  <si>
    <t>=IF((TAN(O3*PI()/180)*(wide/2-(16*59/12)))&gt;0,(TAN(O3*PI()/180)*(wide/2-(16*59/12))),0)</t>
  </si>
  <si>
    <t>=IF((TAN(O2*PI()/180)*((wide/2)-(16*60/12)))&gt;0,(TAN(O2*PI()/180)*((wide/2)-(16*60/12))),0)</t>
  </si>
  <si>
    <t>=IF((TAN(O3*PI()/180)*(wide/2-(16*60/12)))&gt;0,(TAN(O3*PI()/180)*(wide/2-(16*60/12))),0)</t>
  </si>
  <si>
    <t>=IF((TAN(O2*PI()/180)*((wide/2)-(16*61/12)))&gt;0,(TAN(O2*PI()/180)*((wide/2)-(16*61/12))),0)</t>
  </si>
  <si>
    <t>=IF((TAN(O3*PI()/180)*(wide/2-(16*61/12)))&gt;0,(TAN(O3*PI()/180)*(wide/2-(16*61/12))),0)</t>
  </si>
  <si>
    <t>=IF((TAN(O2*PI()/180)*((wide/2)-(16*62/12)))&gt;0,(TAN(O2*PI()/180)*((wide/2)-(16*62/12))),0)</t>
  </si>
  <si>
    <t>=IF((TAN(O3*PI()/180)*(wide/2-(16*62/12)))&gt;0,(TAN(O3*PI()/180)*(wide/2-(16*62/12))),0)</t>
  </si>
  <si>
    <t>=IF((TAN(O2*PI()/180)*((wide/2)-(16*63/12)))&gt;0,(TAN(O2*PI()/180)*((wide/2)-(16*63/12))),0)</t>
  </si>
  <si>
    <t>=IF((TAN(O3*PI()/180)*(wide/2-(16*63/12)))&gt;0,(TAN(O3*PI()/180)*(wide/2-(16*63/12))),0)</t>
  </si>
  <si>
    <t>=IF((TAN(O2*PI()/180)*((wide/2)-(16*64/12)))&gt;0,(TAN(O2*PI()/180)*((wide/2)-(16*64/12))),0)</t>
  </si>
  <si>
    <t>=IF((TAN(O3*PI()/180)*(wide/2-(16*64/12)))&gt;0,(TAN(O3*PI()/180)*(wide/2-(16*64/12))),0)</t>
  </si>
  <si>
    <t>=IF((TAN(O2*PI()/180)*((wide/2)-(16*65/12)))&gt;0,(TAN(O2*PI()/180)*((wide/2)-(16*65/12))),0)</t>
  </si>
  <si>
    <t>=IF((TAN(O3*PI()/180)*(wide/2-(16*65/12)))&gt;0,(TAN(O3*PI()/180)*(wide/2-(16*65/12))),0)</t>
  </si>
  <si>
    <t>=IF((TAN(O2*PI()/180)*((wide/2)-(16*66/12)))&gt;0,(TAN(O2*PI()/180)*((wide/2)-(16*66/12))),0)</t>
  </si>
  <si>
    <t>=IF((TAN(O3*PI()/180)*(wide/2-(16*66/12)))&gt;0,(TAN(O3*PI()/180)*(wide/2-(16*66/12))),0)</t>
  </si>
  <si>
    <t>=IF((TAN(O2*PI()/180)*((wide/2)-(16*67/12)))&gt;0,(TAN(O2*PI()/180)*((wide/2)-(16*67/12))),0)</t>
  </si>
  <si>
    <t>=IF((TAN(O3*PI()/180)*(wide/2-(16*67/12)))&gt;0,(TAN(O3*PI()/180)*(wide/2-(16*67/12))),0)</t>
  </si>
  <si>
    <t>=IF((TAN(O2*PI()/180)*((wide/2)-(16*68/12)))&gt;0,(TAN(O2*PI()/180)*((wide/2)-(16*68/12))),0)</t>
  </si>
  <si>
    <t>=IF((TAN(O3*PI()/180)*(wide/2-(16*68/12)))&gt;0,(TAN(O3*PI()/180)*(wide/2-(16*68/12))),0)</t>
  </si>
  <si>
    <t>=IF((TAN(O2*PI()/180)*((wide/2)-(16*69/12)))&gt;0,(TAN(O2*PI()/180)*((wide/2)-(16*69/12))),0)</t>
  </si>
  <si>
    <t>=IF((TAN(O3*PI()/180)*(wide/2-(16*69/12)))&gt;0,(TAN(O3*PI()/180)*(wide/2-(16*69/12))),0)</t>
  </si>
  <si>
    <t>=IF((TAN(O2*PI()/180)*((wide/2)-(16*70/12)))&gt;0,(TAN(O2*PI()/180)*((wide/2)-(16*70/12))),0)</t>
  </si>
  <si>
    <t>=IF((TAN(O3*PI()/180)*(wide/2-(16*70/12)))&gt;0,(TAN(O3*PI()/180)*(wide/2-(16*70/12))),0)</t>
  </si>
  <si>
    <t>=IF((TAN(O2*PI()/180)*((wide/2)-(16*71/12)))&gt;0,(TAN(O2*PI()/180)*((wide/2)-(16*71/12))),0)</t>
  </si>
  <si>
    <t>=IF((TAN(O3*PI()/180)*(wide/2-(16*71/12)))&gt;0,(TAN(O3*PI()/180)*(wide/2-(16*71/12))),0)</t>
  </si>
  <si>
    <t>=IF((TAN(O2*PI()/180)*((wide/2)-(16*72/12)))&gt;0,(TAN(O2*PI()/180)*((wide/2)-(16*72/12))),0)</t>
  </si>
  <si>
    <t>=IF((TAN(O3*PI()/180)*(wide/2-(16*72/12)))&gt;0,(TAN(O3*PI()/180)*(wide/2-(16*72/12))),0)</t>
  </si>
  <si>
    <t>=IF((TAN(O2*PI()/180)*((wide/2)-(16*73/12)))&gt;0,(TAN(O2*PI()/180)*((wide/2)-(16*73/12))),0)</t>
  </si>
  <si>
    <t>=IF((TAN(O3*PI()/180)*(wide/2-(16*73/12)))&gt;0,(TAN(O3*PI()/180)*(wide/2-(16*73/12))),0)</t>
  </si>
  <si>
    <t>=IF((TAN(O2*PI()/180)*((wide/2)-(16*74/12)))&gt;0,(TAN(O2*PI()/180)*((wide/2)-(16*74/12))),0)</t>
  </si>
  <si>
    <t>=IF((TAN(O3*PI()/180)*(wide/2-(16*74/12)))&gt;0,(TAN(O3*PI()/180)*(wide/2-(16*74/12))),0)</t>
  </si>
  <si>
    <t>=IF((TAN(O2*PI()/180)*((wide/2)-(16*75/12)))&gt;0,(TAN(O2*PI()/180)*((wide/2)-(16*75/12))),0)</t>
  </si>
  <si>
    <t>=IF((TAN(O3*PI()/180)*(wide/2-(16*75/12)))&gt;0,(TAN(O3*PI()/180)*(wide/2-(16*75/12))),0)</t>
  </si>
  <si>
    <t>=IF((TAN(O2*PI()/180)*((wide/2)-(16*76/12)))&gt;0,(TAN(O2*PI()/180)*((wide/2)-(16*76/12))),0)</t>
  </si>
  <si>
    <t>=IF((TAN(O3*PI()/180)*(wide/2-(16*76/12)))&gt;0,(TAN(O3*PI()/180)*(wide/2-(16*76/12))),0)</t>
  </si>
  <si>
    <t>=IF((TAN(O2*PI()/180)*((wide/2)-(16*77/12)))&gt;0,(TAN(O2*PI()/180)*((wide/2)-(16*77/12))),0)</t>
  </si>
  <si>
    <t>=IF((TAN(O3*PI()/180)*(wide/2-(16*77/12)))&gt;0,(TAN(O3*PI()/180)*(wide/2-(16*77/12))),0)</t>
  </si>
  <si>
    <t>=IF((TAN(O2*PI()/180)*((wide/2)-(16*78/12)))&gt;0,(TAN(O2*PI()/180)*((wide/2)-(16*78/12))),0)</t>
  </si>
  <si>
    <t>=IF((TAN(O3*PI()/180)*(wide/2-(16*78/12)))&gt;0,(TAN(O3*PI()/180)*(wide/2-(16*78/12))),0)</t>
  </si>
  <si>
    <t>=IF((TAN(O2*PI()/180)*((wide/2)-(16*79/12)))&gt;0,(TAN(O2*PI()/180)*((wide/2)-(16*79/12))),0)</t>
  </si>
  <si>
    <t>=IF((TAN(O3*PI()/180)*(wide/2-(16*79/12)))&gt;0,(TAN(O3*PI()/180)*(wide/2-(16*79/12))),0)</t>
  </si>
  <si>
    <t>=IF((TAN(O2*PI()/180)*((wide/2)-(16*80/12)))&gt;0,(TAN(O2*PI()/180)*((wide/2)-(16*80/12))),0)</t>
  </si>
  <si>
    <t>=IF((TAN(O3*PI()/180)*(wide/2-(16*80/12)))&gt;0,(TAN(O3*PI()/180)*(wide/2-(16*80/12))),0)</t>
  </si>
  <si>
    <t>=IF((TAN(O2*PI()/180)*((wide/2)-(16*81/12)))&gt;0,(TAN(O2*PI()/180)*((wide/2)-(16*81/12))),0)</t>
  </si>
  <si>
    <t>=IF((TAN(O3*PI()/180)*(wide/2-(16*81/12)))&gt;0,(TAN(O3*PI()/180)*(wide/2-(16*81/12))),0)</t>
  </si>
  <si>
    <t>=IF((TAN(O2*PI()/180)*((wide/2)-(16*82/12)))&gt;0,(TAN(O2*PI()/180)*((wide/2)-(16*82/12))),0)</t>
  </si>
  <si>
    <t>=IF((TAN(O3*PI()/180)*(wide/2-(16*82/12)))&gt;0,(TAN(O3*PI()/180)*(wide/2-(16*82/12))),0)</t>
  </si>
  <si>
    <t>=IF((TAN(O2*PI()/180)*((wide/2)-(16*83/12)))&gt;0,(TAN(O2*PI()/180)*((wide/2)-(16*83/12))),0)</t>
  </si>
  <si>
    <t>=IF((TAN(O3*PI()/180)*(wide/2-(16*83/12)))&gt;0,(TAN(O3*PI()/180)*(wide/2-(16*83/12))),0)</t>
  </si>
  <si>
    <t>=IF((TAN(O2*PI()/180)*((wide/2)-(16*84/12)))&gt;0,(TAN(O2*PI()/180)*((wide/2)-(16*84/12))),0)</t>
  </si>
  <si>
    <t>=IF((TAN(O3*PI()/180)*(wide/2-(16*84/12)))&gt;0,(TAN(O3*PI()/180)*(wide/2-(16*84/12))),0)</t>
  </si>
  <si>
    <t>=IF((TAN(O2*PI()/180)*((wide/2)-(16*85/12)))&gt;0,(TAN(O2*PI()/180)*((wide/2)-(16*85/12))),0)</t>
  </si>
  <si>
    <t>=IF((TAN(O3*PI()/180)*(wide/2-(16*85/12)))&gt;0,(TAN(O3*PI()/180)*(wide/2-(16*85/12))),0)</t>
  </si>
  <si>
    <t>=IF((TAN(O2*PI()/180)*((wide/2)-(16*86/12)))&gt;0,(TAN(O2*PI()/180)*((wide/2)-(16*86/12))),0)</t>
  </si>
  <si>
    <t>=IF((TAN(O3*PI()/180)*(wide/2-(16*86/12)))&gt;0,(TAN(O3*PI()/180)*(wide/2-(16*86/12))),0)</t>
  </si>
  <si>
    <t>=IF((TAN(O2*PI()/180)*((wide/2)-(16*87/12)))&gt;0,(TAN(O2*PI()/180)*((wide/2)-(16*87/12))),0)</t>
  </si>
  <si>
    <t>=IF((TAN(O3*PI()/180)*(wide/2-(16*87/12)))&gt;0,(TAN(O3*PI()/180)*(wide/2-(16*87/12))),0)</t>
  </si>
  <si>
    <t>=IF((TAN(O2*PI()/180)*((wide/2)-(16*88/12)))&gt;0,(TAN(O2*PI()/180)*((wide/2)-(16*88/12))),0)</t>
  </si>
  <si>
    <t>=IF((TAN(O3*PI()/180)*(wide/2-(16*88/12)))&gt;0,(TAN(O3*PI()/180)*(wide/2-(16*88/12))),0)</t>
  </si>
  <si>
    <t>=IF((TAN(O2*PI()/180)*((wide/2)-(16*89/12)))&gt;0,(TAN(O2*PI()/180)*((wide/2)-(16*89/12))),0)</t>
  </si>
  <si>
    <t>=IF((TAN(O3*PI()/180)*(wide/2-(16*89/12)))&gt;0,(TAN(O3*PI()/180)*(wide/2-(16*89/12))),0)</t>
  </si>
  <si>
    <t>=IF((TAN(O2*PI()/180)*((wide/2)-(16*90/12)))&gt;0,(TAN(O2*PI()/180)*((wide/2)-(16*90/12))),0)</t>
  </si>
  <si>
    <t>=IF((TAN(O3*PI()/180)*(wide/2-(16*90/12)))&gt;0,(TAN(O3*PI()/180)*(wide/2-(16*90/12))),0)</t>
  </si>
  <si>
    <t>=IF((TAN(O2*PI()/180)*((wide/2)-(16*91/12)))&gt;0,(TAN(O2*PI()/180)*((wide/2)-(16*91/12))),0)</t>
  </si>
  <si>
    <t>=IF((TAN(O3*PI()/180)*(wide/2-(16*91/12)))&gt;0,(TAN(O3*PI()/180)*(wide/2-(16*91/12))),0)</t>
  </si>
  <si>
    <t>=IF((TAN(O2*PI()/180)*((wide/2)-(16*92/12)))&gt;0,(TAN(O2*PI()/180)*((wide/2)-(16*92/12))),0)</t>
  </si>
  <si>
    <t>=IF((TAN(O3*PI()/180)*(wide/2-(16*92/12)))&gt;0,(TAN(O3*PI()/180)*(wide/2-(16*92/12))),0)</t>
  </si>
  <si>
    <t>=IF((TAN(O2*PI()/180)*((wide/2)-(16*93/12)))&gt;0,(TAN(O2*PI()/180)*((wide/2)-(16*93/12))),0)</t>
  </si>
  <si>
    <t>=IF((TAN(O3*PI()/180)*(wide/2-(16*93/12)))&gt;0,(TAN(O3*PI()/180)*(wide/2-(16*93/12))),0)</t>
  </si>
  <si>
    <t>=IF((TAN(O2*PI()/180)*((wide/2)-(16*94/12)))&gt;0,(TAN(O2*PI()/180)*((wide/2)-(16*94/12))),0)</t>
  </si>
  <si>
    <t>=IF((TAN(O3*PI()/180)*(wide/2-(16*94/12)))&gt;0,(TAN(O3*PI()/180)*(wide/2-(16*94/12))),0)</t>
  </si>
  <si>
    <t>=IF((TAN(O2*PI()/180)*((wide/2)-(16*95/12)))&gt;0,(TAN(O2*PI()/180)*((wide/2)-(16*95/12))),0)</t>
  </si>
  <si>
    <t>=IF((TAN(O3*PI()/180)*(wide/2-(16*95/12)))&gt;0,(TAN(O3*PI()/180)*(wide/2-(16*95/12))),0)</t>
  </si>
  <si>
    <t>=IF((TAN(O2*PI()/180)*((wide/2)-(16*96/12)))&gt;0,(TAN(O2*PI()/180)*((wide/2)-(16*96/12))),0)</t>
  </si>
  <si>
    <t>=IF((TAN(O3*PI()/180)*(wide/2-(16*96/12)))&gt;0,(TAN(O3*PI()/180)*(wide/2-(16*96/12))),0)</t>
  </si>
  <si>
    <t>=IF((TAN(O2*PI()/180)*((wide/2)-(16*97/12)))&gt;0,(TAN(O2*PI()/180)*((wide/2)-(16*97/12))),0)</t>
  </si>
  <si>
    <t>=IF((TAN(O3*PI()/180)*(wide/2-(16*97/12)))&gt;0,(TAN(O3*PI()/180)*(wide/2-(16*97/12))),0)</t>
  </si>
  <si>
    <t>=IF((TAN(O2*PI()/180)*((wide/2)-(16*98/12)))&gt;0,(TAN(O2*PI()/180)*((wide/2)-(16*98/12))),0)</t>
  </si>
  <si>
    <t>=IF((TAN(O3*PI()/180)*(wide/2-(16*98/12)))&gt;0,(TAN(O3*PI()/180)*(wide/2-(16*98/12))),0)</t>
  </si>
  <si>
    <t>=IF((TAN(O2*PI()/180)*((wide/2)-(16*99/12)))&gt;0,(TAN(O2*PI()/180)*((wide/2)-(16*99/12))),0)</t>
  </si>
  <si>
    <t>=IF((TAN(O3*PI()/180)*(wide/2-(16*99/12)))&gt;0,(TAN(O3*PI()/180)*(wide/2-(16*99/12))),0)</t>
  </si>
  <si>
    <t>=IF((TAN(O2*PI()/180)*((wide/2)-(16*100/12)))&gt;0,(TAN(O2*PI()/180)*((wide/2)-(16*100/12))),0)</t>
  </si>
  <si>
    <t>=IF((TAN(O3*PI()/180)*(wide/2-(16*100/12)))&gt;0,(TAN(O3*PI()/180)*(wide/2-(16*100/12))),0)</t>
  </si>
  <si>
    <t>=IF((TAN(O2*PI()/180)*((wide/2)-(16*101/12)))&gt;0,(TAN(O2*PI()/180)*((wide/2)-(16*101/12))),0)</t>
  </si>
  <si>
    <t>=IF((TAN(O3*PI()/180)*(wide/2-(16*101/12)))&gt;0,(TAN(O3*PI()/180)*(wide/2-(16*101/12))),0)</t>
  </si>
  <si>
    <t>=IF((TAN(O2*PI()/180)*((wide/2)-(16*102/12)))&gt;0,(TAN(O2*PI()/180)*((wide/2)-(16*102/12))),0)</t>
  </si>
  <si>
    <t>=IF((TAN(O3*PI()/180)*(wide/2-(16*102/12)))&gt;0,(TAN(O3*PI()/180)*(wide/2-(16*102/12))),0)</t>
  </si>
  <si>
    <t>=IF((TAN(O2*PI()/180)*((wide/2)-(16*103/12)))&gt;0,(TAN(O2*PI()/180)*((wide/2)-(16*103/12))),0)</t>
  </si>
  <si>
    <t>=IF((TAN(O3*PI()/180)*(wide/2-(16*103/12)))&gt;0,(TAN(O3*PI()/180)*(wide/2-(16*103/12))),0)</t>
  </si>
  <si>
    <t>=IF((TAN(O2*PI()/180)*((wide/2)-(16*104/12)))&gt;0,(TAN(O2*PI()/180)*((wide/2)-(16*104/12))),0)</t>
  </si>
  <si>
    <t>=IF((TAN(O3*PI()/180)*(wide/2-(16*104/12)))&gt;0,(TAN(O3*PI()/180)*(wide/2-(16*104/12))),0)</t>
  </si>
  <si>
    <t>=IF((TAN(O2*PI()/180)*((wide/2)-(16*105/12)))&gt;0,(TAN(O2*PI()/180)*((wide/2)-(16*105/12))),0)</t>
  </si>
  <si>
    <t>=IF((TAN(O3*PI()/180)*(wide/2-(16*105/12)))&gt;0,(TAN(O3*PI()/180)*(wide/2-(16*105/12))),0)</t>
  </si>
  <si>
    <t>=IF((TAN(O2*PI()/180)*((wide/2)-(16*106/12)))&gt;0,(TAN(O2*PI()/180)*((wide/2)-(16*106/12))),0)</t>
  </si>
  <si>
    <t>=IF((TAN(O3*PI()/180)*(wide/2-(16*106/12)))&gt;0,(TAN(O3*PI()/180)*(wide/2-(16*106/12))),0)</t>
  </si>
  <si>
    <t>=IF((TAN(O2*PI()/180)*((wide/2)-(16*107/12)))&gt;0,(TAN(O2*PI()/180)*((wide/2)-(16*107/12))),0)</t>
  </si>
  <si>
    <t>=IF((TAN(O3*PI()/180)*(wide/2-(16*107/12)))&gt;0,(TAN(O3*PI()/180)*(wide/2-(16*107/12))),0)</t>
  </si>
  <si>
    <t>=IF((TAN(O2*PI()/180)*((wide/2)-(16*108/12)))&gt;0,(TAN(O2*PI()/180)*((wide/2)-(16*108/12))),0)</t>
  </si>
  <si>
    <t>=IF((TAN(O3*PI()/180)*(wide/2-(16*108/12)))&gt;0,(TAN(O3*PI()/180)*(wide/2-(16*108/12))),0)</t>
  </si>
  <si>
    <t>=IF((TAN(O2*PI()/180)*((wide/2)-(16*109/12)))&gt;0,(TAN(O2*PI()/180)*((wide/2)-(16*109/12))),0)</t>
  </si>
  <si>
    <t>=IF((TAN(O3*PI()/180)*(wide/2-(16*109/12)))&gt;0,(TAN(O3*PI()/180)*(wide/2-(16*109/12))),0)</t>
  </si>
  <si>
    <t>=IF((TAN(O2*PI()/180)*((wide/2)-(16*110/12)))&gt;0,(TAN(O2*PI()/180)*((wide/2)-(16*110/12))),0)</t>
  </si>
  <si>
    <t>=IF((TAN(O3*PI()/180)*(wide/2-(16*110/12)))&gt;0,(TAN(O3*PI()/180)*(wide/2-(16*110/12))),0)</t>
  </si>
  <si>
    <t>1/post(pole)</t>
  </si>
  <si>
    <t>Post(pole) spacing (')</t>
  </si>
  <si>
    <t>concrete pad or footing for posts or poles (diameter 12", Thickness 6")</t>
  </si>
  <si>
    <t>Post No.</t>
  </si>
  <si>
    <t>Specific title</t>
  </si>
  <si>
    <t>Footing</t>
  </si>
  <si>
    <t>6" X 6" Framing , colums for wood post</t>
  </si>
  <si>
    <t>Post No. based on post spacing O.C.</t>
  </si>
  <si>
    <t>Post (pole)</t>
  </si>
  <si>
    <t>wall girts</t>
  </si>
  <si>
    <t>skirt board</t>
  </si>
  <si>
    <t>wall area and siding</t>
  </si>
  <si>
    <t>preimeter</t>
  </si>
  <si>
    <t>siding area (three siding) except front siding</t>
  </si>
  <si>
    <t>Ceiling joists (cross)</t>
  </si>
  <si>
    <t>end studs</t>
  </si>
  <si>
    <t>fron &amp; back</t>
  </si>
  <si>
    <t>end stud</t>
  </si>
  <si>
    <t>stud (back)</t>
  </si>
  <si>
    <t>stud (front)</t>
  </si>
  <si>
    <t>Input warehouse size (options)_Version 2.0</t>
  </si>
  <si>
    <t>2 X 6 stud 16" O.C. # wood</t>
  </si>
  <si>
    <t>Collar Beam Tie</t>
  </si>
  <si>
    <t>half of truss span</t>
  </si>
  <si>
    <t>rafters right</t>
  </si>
  <si>
    <t>rafters left</t>
  </si>
  <si>
    <t>Output warehouse Cost</t>
  </si>
  <si>
    <t>Length (')</t>
  </si>
  <si>
    <t>Height (eave)</t>
  </si>
  <si>
    <t>frame (side post)</t>
  </si>
  <si>
    <t>Cost modifier</t>
  </si>
  <si>
    <t>wide</t>
  </si>
  <si>
    <t>floor</t>
  </si>
  <si>
    <t>Story Height multiplier</t>
  </si>
  <si>
    <t>Wall (height)</t>
  </si>
  <si>
    <t>source: RSMeans</t>
  </si>
  <si>
    <t>length</t>
  </si>
  <si>
    <t>source: Michigan</t>
  </si>
  <si>
    <t>floor+surface+cone</t>
  </si>
  <si>
    <t>typical</t>
  </si>
  <si>
    <t>Size factor</t>
  </si>
  <si>
    <t>Average Wall(eave)</t>
  </si>
  <si>
    <t>Cost multiplier</t>
  </si>
  <si>
    <t>S.F. multiplier</t>
  </si>
  <si>
    <t>Extend</t>
  </si>
  <si>
    <t>size factor</t>
  </si>
  <si>
    <t>cost multiplier</t>
  </si>
  <si>
    <t>Base</t>
  </si>
  <si>
    <t>garage</t>
  </si>
  <si>
    <t>Cost multiflier</t>
  </si>
  <si>
    <t>Story multiflier</t>
  </si>
  <si>
    <t>Adj. S.F. cost</t>
  </si>
  <si>
    <t>Adj. Total cost</t>
  </si>
  <si>
    <t>Siding  
(yes=1, No=0)</t>
  </si>
  <si>
    <t>Footing &amp; floor</t>
  </si>
  <si>
    <t>Area</t>
  </si>
  <si>
    <t>Concrete floor 
(yes=1, No=0)</t>
  </si>
  <si>
    <t>concrete for floor</t>
  </si>
  <si>
    <t>Slab on grade 4'' thick</t>
  </si>
  <si>
    <t>Structural concrete, in place, slab on grade, 4" thick, includes forms(4 uses) and reinforcing steel</t>
  </si>
  <si>
    <t>Posts and Columns 6"X6"</t>
  </si>
  <si>
    <t>061110140250</t>
  </si>
  <si>
    <t>Post footing</t>
  </si>
  <si>
    <t>Excav., backfill, Forms, concrete</t>
  </si>
  <si>
    <t>Ea</t>
  </si>
  <si>
    <t>12" diameter</t>
  </si>
  <si>
    <t>post footiing, incl excav, backfill, tube form 4 ' deep, 12" diameter</t>
  </si>
  <si>
    <t>Description</t>
  </si>
  <si>
    <t xml:space="preserve"> part number</t>
  </si>
  <si>
    <t>061110281550</t>
  </si>
  <si>
    <t>033053404650</t>
  </si>
  <si>
    <t>framing walls, plates, untreated 2"X4", pneumatic nailed</t>
  </si>
  <si>
    <t>061110405027</t>
  </si>
  <si>
    <t>2" X 4",  2' O.C.</t>
  </si>
  <si>
    <t>2" X 6"</t>
  </si>
  <si>
    <t>061110405041</t>
  </si>
  <si>
    <t>framing walls, plates, untreated 2"X6", pneumatic nailed</t>
  </si>
  <si>
    <t>aluminum sideing panels, corrugated, on steel frame, 0.19 thick, natural finish</t>
  </si>
  <si>
    <t>074213200012</t>
  </si>
  <si>
    <t>On wood framing</t>
  </si>
  <si>
    <t>For siding on wood frame, deduct from above siding cost</t>
  </si>
  <si>
    <t>for sideing on wood frame, deduct from above</t>
  </si>
  <si>
    <t>074213203300</t>
  </si>
  <si>
    <t>deduct on wood frame</t>
  </si>
  <si>
    <t>Corrugated. 0.0155" thick, steel</t>
  </si>
  <si>
    <t>aluminum of panels, corrugated, on steel frame, 0.0155. thick, natural finish</t>
  </si>
  <si>
    <t>074113100020</t>
  </si>
  <si>
    <t>For roof on wood frame, deduct from above roof siding cost</t>
  </si>
  <si>
    <t>for roofing on wood frame, deduct from above</t>
  </si>
  <si>
    <t>074113102200</t>
  </si>
  <si>
    <t>Beam and girder framing, single, 2X8 pneumatic nailed</t>
  </si>
  <si>
    <t>061110101025</t>
  </si>
  <si>
    <t>Framing, roofs, rafters, to 4 in 12 pitch, 2"X6"</t>
  </si>
  <si>
    <t>061110305000</t>
  </si>
  <si>
    <t>joist framing, joist, 4"X6"</t>
  </si>
  <si>
    <t>061110182502</t>
  </si>
  <si>
    <t>roof framing, ridge board, #2 or better, 2"X6"</t>
  </si>
  <si>
    <t>061110305860</t>
  </si>
  <si>
    <t>1/warehouse's length</t>
  </si>
  <si>
    <t>ceiling framing, suspended,2"X6"</t>
  </si>
  <si>
    <t>061110126100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</si>
</sst>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7" formatCode="_(&quot;$&quot;* #,##0.0000_);_(&quot;$&quot;* \(#,##0.0000\);_(&quot;$&quot;* &quot;-&quot;??_);_(@_)"/>
    <numFmt numFmtId="168" formatCode="0.000"/>
    <numFmt numFmtId="169" formatCode="0.0"/>
    <numFmt numFmtId="170" formatCode="_(* #,##0_);_(* \(#,##0\);_(* &quot;-&quot;??_);_(@_)"/>
    <numFmt numFmtId="171" formatCode="0.00000"/>
    <numFmt numFmtId="172" formatCode="&quot;$&quot;#,##0"/>
    <numFmt numFmtId="173" formatCode="_([$SZL]\ * #,##0.00_);_([$SZL]\ * \(#,##0.00\);_([$SZL]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8" xfId="0" applyFont="1" applyFill="1" applyBorder="1"/>
    <xf numFmtId="0" fontId="2" fillId="4" borderId="9" xfId="0" applyFont="1" applyFill="1" applyBorder="1"/>
    <xf numFmtId="167" fontId="0" fillId="0" borderId="0" xfId="0" applyNumberFormat="1"/>
    <xf numFmtId="0" fontId="2" fillId="4" borderId="4" xfId="0" applyFont="1" applyFill="1" applyBorder="1"/>
    <xf numFmtId="0" fontId="2" fillId="0" borderId="0" xfId="0" applyFont="1" applyFill="1" applyBorder="1"/>
    <xf numFmtId="171" fontId="0" fillId="0" borderId="0" xfId="0" applyNumberFormat="1"/>
    <xf numFmtId="0" fontId="2" fillId="3" borderId="0" xfId="0" applyFont="1" applyFill="1" applyBorder="1"/>
    <xf numFmtId="0" fontId="0" fillId="3" borderId="0" xfId="0" applyFill="1" applyBorder="1"/>
    <xf numFmtId="0" fontId="0" fillId="3" borderId="0" xfId="0" applyFill="1"/>
    <xf numFmtId="171" fontId="0" fillId="3" borderId="0" xfId="0" applyNumberFormat="1" applyFill="1"/>
    <xf numFmtId="12" fontId="0" fillId="3" borderId="0" xfId="0" applyNumberFormat="1" applyFill="1" applyAlignment="1">
      <alignment horizontal="right" vertical="center"/>
    </xf>
    <xf numFmtId="6" fontId="2" fillId="3" borderId="0" xfId="0" applyNumberFormat="1" applyFont="1" applyFill="1" applyAlignment="1">
      <alignment horizontal="center" vertical="top" wrapText="1"/>
    </xf>
    <xf numFmtId="0" fontId="0" fillId="0" borderId="0" xfId="0" applyFill="1" applyBorder="1"/>
    <xf numFmtId="0" fontId="0" fillId="2" borderId="0" xfId="0" applyFill="1" applyBorder="1"/>
    <xf numFmtId="10" fontId="0" fillId="2" borderId="0" xfId="3" applyNumberFormat="1" applyFont="1" applyFill="1" applyBorder="1"/>
    <xf numFmtId="0" fontId="0" fillId="0" borderId="0" xfId="0" applyFill="1"/>
    <xf numFmtId="2" fontId="0" fillId="0" borderId="0" xfId="0" applyNumberFormat="1" applyFill="1"/>
    <xf numFmtId="12" fontId="0" fillId="0" borderId="0" xfId="0" applyNumberFormat="1" applyFill="1" applyAlignment="1">
      <alignment horizontal="right" vertical="center"/>
    </xf>
    <xf numFmtId="6" fontId="2" fillId="0" borderId="0" xfId="0" applyNumberFormat="1" applyFont="1" applyFill="1" applyAlignment="1">
      <alignment horizontal="center" vertical="top" wrapText="1"/>
    </xf>
    <xf numFmtId="0" fontId="2" fillId="0" borderId="0" xfId="0" applyFont="1"/>
    <xf numFmtId="12" fontId="2" fillId="0" borderId="0" xfId="0" applyNumberFormat="1" applyFont="1" applyAlignment="1">
      <alignment horizontal="right" vertical="center"/>
    </xf>
    <xf numFmtId="6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Fill="1" applyBorder="1"/>
    <xf numFmtId="2" fontId="0" fillId="0" borderId="0" xfId="0" applyNumberFormat="1"/>
    <xf numFmtId="2" fontId="0" fillId="0" borderId="0" xfId="0" quotePrefix="1" applyNumberFormat="1"/>
    <xf numFmtId="2" fontId="0" fillId="0" borderId="0" xfId="0" applyNumberFormat="1" applyFill="1" applyBorder="1"/>
    <xf numFmtId="2" fontId="0" fillId="0" borderId="0" xfId="0" quotePrefix="1" applyNumberFormat="1" applyFill="1" applyBorder="1"/>
    <xf numFmtId="2" fontId="0" fillId="0" borderId="0" xfId="0" applyNumberFormat="1" applyAlignment="1">
      <alignment horizontal="right" vertical="center"/>
    </xf>
    <xf numFmtId="2" fontId="2" fillId="0" borderId="0" xfId="0" applyNumberFormat="1" applyFont="1" applyAlignment="1">
      <alignment horizontal="center" vertical="top" wrapText="1"/>
    </xf>
    <xf numFmtId="169" fontId="0" fillId="3" borderId="0" xfId="0" applyNumberFormat="1" applyFill="1" applyBorder="1"/>
    <xf numFmtId="0" fontId="0" fillId="3" borderId="0" xfId="0" applyFont="1" applyFill="1" applyBorder="1"/>
    <xf numFmtId="170" fontId="0" fillId="0" borderId="0" xfId="1" applyNumberFormat="1" applyFont="1" applyFill="1" applyBorder="1"/>
    <xf numFmtId="171" fontId="0" fillId="0" borderId="0" xfId="0" applyNumberFormat="1" applyFill="1" applyBorder="1"/>
    <xf numFmtId="0" fontId="2" fillId="0" borderId="0" xfId="0" applyFont="1" applyAlignment="1">
      <alignment horizontal="left"/>
    </xf>
    <xf numFmtId="169" fontId="0" fillId="0" borderId="0" xfId="0" applyNumberFormat="1"/>
    <xf numFmtId="0" fontId="0" fillId="5" borderId="0" xfId="0" applyFill="1" applyBorder="1"/>
    <xf numFmtId="0" fontId="0" fillId="5" borderId="0" xfId="0" applyFill="1"/>
    <xf numFmtId="168" fontId="0" fillId="5" borderId="0" xfId="0" applyNumberFormat="1" applyFill="1"/>
    <xf numFmtId="2" fontId="0" fillId="5" borderId="0" xfId="0" applyNumberFormat="1" applyFill="1" applyBorder="1"/>
    <xf numFmtId="2" fontId="0" fillId="5" borderId="0" xfId="0" applyNumberFormat="1" applyFill="1"/>
    <xf numFmtId="172" fontId="0" fillId="5" borderId="0" xfId="0" applyNumberFormat="1" applyFill="1" applyBorder="1"/>
    <xf numFmtId="12" fontId="0" fillId="5" borderId="0" xfId="0" applyNumberFormat="1" applyFill="1" applyBorder="1" applyAlignment="1">
      <alignment horizontal="right" vertical="center"/>
    </xf>
    <xf numFmtId="6" fontId="2" fillId="5" borderId="0" xfId="0" applyNumberFormat="1" applyFont="1" applyFill="1" applyBorder="1" applyAlignment="1">
      <alignment horizontal="center" vertical="top" wrapText="1"/>
    </xf>
    <xf numFmtId="172" fontId="0" fillId="0" borderId="0" xfId="0" applyNumberFormat="1" applyFill="1" applyBorder="1"/>
    <xf numFmtId="12" fontId="0" fillId="0" borderId="0" xfId="0" applyNumberForma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center" vertical="top" wrapText="1"/>
    </xf>
    <xf numFmtId="168" fontId="0" fillId="0" borderId="0" xfId="0" applyNumberFormat="1" applyFill="1"/>
    <xf numFmtId="168" fontId="0" fillId="0" borderId="0" xfId="0" applyNumberFormat="1"/>
    <xf numFmtId="168" fontId="2" fillId="0" borderId="0" xfId="0" applyNumberFormat="1" applyFont="1" applyFill="1" applyBorder="1"/>
    <xf numFmtId="12" fontId="2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center" vertical="top" wrapText="1"/>
    </xf>
    <xf numFmtId="172" fontId="0" fillId="0" borderId="0" xfId="0" applyNumberFormat="1"/>
    <xf numFmtId="167" fontId="2" fillId="0" borderId="0" xfId="0" applyNumberFormat="1" applyFont="1"/>
    <xf numFmtId="168" fontId="0" fillId="0" borderId="0" xfId="0" applyNumberForma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2" fontId="2" fillId="0" borderId="0" xfId="0" applyNumberFormat="1" applyFont="1" applyFill="1"/>
    <xf numFmtId="169" fontId="0" fillId="0" borderId="0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quotePrefix="1" applyFill="1" applyBorder="1"/>
    <xf numFmtId="0" fontId="0" fillId="3" borderId="0" xfId="0" quotePrefix="1" applyFill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73" fontId="2" fillId="2" borderId="10" xfId="2" applyNumberFormat="1" applyFont="1" applyFill="1" applyBorder="1" applyAlignment="1">
      <alignment horizontal="center" vertical="center"/>
    </xf>
    <xf numFmtId="173" fontId="2" fillId="2" borderId="11" xfId="2" applyNumberFormat="1" applyFont="1" applyFill="1" applyBorder="1" applyAlignment="1">
      <alignment horizontal="center" vertical="center"/>
    </xf>
    <xf numFmtId="173" fontId="2" fillId="2" borderId="5" xfId="2" applyNumberFormat="1" applyFont="1" applyFill="1" applyBorder="1" applyAlignment="1">
      <alignment horizontal="center" vertical="center"/>
    </xf>
    <xf numFmtId="173" fontId="2" fillId="2" borderId="7" xfId="2" applyNumberFormat="1" applyFont="1" applyFill="1" applyBorder="1" applyAlignment="1">
      <alignment horizontal="center" vertical="center"/>
    </xf>
    <xf numFmtId="173" fontId="4" fillId="3" borderId="12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0</xdr:rowOff>
    </xdr:from>
    <xdr:to>
      <xdr:col>30</xdr:col>
      <xdr:colOff>495300</xdr:colOff>
      <xdr:row>23</xdr:row>
      <xdr:rowOff>66675</xdr:rowOff>
    </xdr:to>
    <xdr:pic>
      <xdr:nvPicPr>
        <xdr:cNvPr id="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83325" y="0"/>
          <a:ext cx="4762500" cy="476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51</xdr:col>
      <xdr:colOff>504264</xdr:colOff>
      <xdr:row>0</xdr:row>
      <xdr:rowOff>0</xdr:rowOff>
    </xdr:from>
    <xdr:to>
      <xdr:col>68</xdr:col>
      <xdr:colOff>514349</xdr:colOff>
      <xdr:row>36</xdr:row>
      <xdr:rowOff>51547</xdr:rowOff>
    </xdr:to>
    <xdr:pic>
      <xdr:nvPicPr>
        <xdr:cNvPr id="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509014" y="0"/>
          <a:ext cx="10373285" cy="7328647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27</xdr:row>
      <xdr:rowOff>47625</xdr:rowOff>
    </xdr:from>
    <xdr:to>
      <xdr:col>31</xdr:col>
      <xdr:colOff>409575</xdr:colOff>
      <xdr:row>52</xdr:row>
      <xdr:rowOff>19050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126200" y="5314950"/>
          <a:ext cx="5286375" cy="4733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W192"/>
  <sheetViews>
    <sheetView tabSelected="1" zoomScaleNormal="100" workbookViewId="0">
      <pane ySplit="10" topLeftCell="A11" activePane="bottomLeft" state="frozen"/>
      <selection pane="bottomLeft" activeCell="I8" activeCellId="4" sqref="B7:F8 H7 H8 I7 I8"/>
    </sheetView>
  </sheetViews>
  <sheetFormatPr defaultRowHeight="15" x14ac:dyDescent="0.25"/>
  <cols>
    <col min="1" max="1" width="16.28515625" customWidth="1"/>
    <col min="2" max="2" width="20.7109375" bestFit="1" customWidth="1"/>
    <col min="3" max="3" width="28.7109375" customWidth="1"/>
    <col min="4" max="4" width="14.28515625" customWidth="1"/>
    <col min="5" max="5" width="30.140625" customWidth="1"/>
    <col min="6" max="6" width="14.7109375" customWidth="1"/>
    <col min="7" max="7" width="13.140625" bestFit="1" customWidth="1"/>
    <col min="8" max="8" width="11.140625" customWidth="1"/>
    <col min="9" max="9" width="12.5703125" customWidth="1"/>
    <col min="10" max="12" width="9.140625" customWidth="1"/>
    <col min="14" max="14" width="10" customWidth="1"/>
    <col min="16" max="16" width="9.5703125" bestFit="1" customWidth="1"/>
    <col min="17" max="18" width="12.140625" bestFit="1" customWidth="1"/>
    <col min="33" max="40" width="9.140625" style="2"/>
    <col min="41" max="44" width="9.140625" style="29"/>
    <col min="45" max="45" width="13.85546875" style="29" customWidth="1"/>
    <col min="46" max="70" width="9.140625" style="29"/>
  </cols>
  <sheetData>
    <row r="1" spans="1:75" ht="19.5" thickBot="1" x14ac:dyDescent="0.35">
      <c r="A1" s="1" t="s">
        <v>294</v>
      </c>
      <c r="B1" s="2"/>
      <c r="C1" s="2"/>
      <c r="D1" s="2"/>
      <c r="E1" s="2"/>
      <c r="F1" s="2"/>
      <c r="J1" s="3" t="s">
        <v>276</v>
      </c>
      <c r="K1" s="2"/>
      <c r="L1" s="2"/>
      <c r="M1" s="2"/>
      <c r="N1" s="2"/>
      <c r="Q1" t="s">
        <v>0</v>
      </c>
      <c r="AG1" s="3" t="s">
        <v>304</v>
      </c>
      <c r="AH1" s="29"/>
      <c r="AI1" s="29" t="s">
        <v>305</v>
      </c>
      <c r="AJ1" s="29">
        <f>wide</f>
        <v>40</v>
      </c>
      <c r="AK1" s="29"/>
      <c r="AL1" s="29" t="s">
        <v>306</v>
      </c>
      <c r="AM1">
        <f>wide*high</f>
        <v>2400</v>
      </c>
      <c r="AN1" s="29" t="s">
        <v>36</v>
      </c>
      <c r="AQ1" s="3" t="s">
        <v>307</v>
      </c>
      <c r="AS1" s="29" t="s">
        <v>308</v>
      </c>
      <c r="AT1" s="29">
        <f>eheight</f>
        <v>18</v>
      </c>
      <c r="AW1"/>
    </row>
    <row r="2" spans="1:75" ht="29.25" customHeight="1" x14ac:dyDescent="0.25">
      <c r="A2" s="4" t="s">
        <v>1</v>
      </c>
      <c r="B2" s="5" t="s">
        <v>301</v>
      </c>
      <c r="C2" s="5" t="s">
        <v>302</v>
      </c>
      <c r="D2" s="6" t="s">
        <v>327</v>
      </c>
      <c r="E2" s="6" t="s">
        <v>275</v>
      </c>
      <c r="F2" s="6" t="s">
        <v>330</v>
      </c>
      <c r="G2" s="7" t="s">
        <v>2</v>
      </c>
      <c r="H2" s="8" t="s">
        <v>3</v>
      </c>
      <c r="I2" s="70" t="s">
        <v>323</v>
      </c>
      <c r="J2" s="36" t="s">
        <v>324</v>
      </c>
      <c r="K2" s="2" t="s">
        <v>4</v>
      </c>
      <c r="L2" s="2"/>
      <c r="M2" s="3" t="s">
        <v>5</v>
      </c>
      <c r="N2" s="2" t="s">
        <v>277</v>
      </c>
      <c r="P2" t="s">
        <v>6</v>
      </c>
      <c r="Q2">
        <v>18.45</v>
      </c>
      <c r="S2" t="s">
        <v>7</v>
      </c>
      <c r="AG2" s="2" t="s">
        <v>309</v>
      </c>
      <c r="AH2" s="29"/>
      <c r="AI2" s="29" t="s">
        <v>310</v>
      </c>
      <c r="AJ2" s="29">
        <f>length</f>
        <v>60</v>
      </c>
      <c r="AK2" s="29"/>
      <c r="AL2" s="29"/>
      <c r="AM2"/>
      <c r="AN2" s="29"/>
      <c r="AQ2" s="2" t="s">
        <v>311</v>
      </c>
      <c r="AW2"/>
    </row>
    <row r="3" spans="1:75" ht="15.75" thickBot="1" x14ac:dyDescent="0.3">
      <c r="A3" s="79">
        <v>40</v>
      </c>
      <c r="B3" s="80">
        <v>60</v>
      </c>
      <c r="C3" s="81">
        <v>18</v>
      </c>
      <c r="D3" s="81">
        <v>1</v>
      </c>
      <c r="E3" s="81">
        <v>8</v>
      </c>
      <c r="F3" s="81">
        <v>1</v>
      </c>
      <c r="G3" s="82">
        <v>100</v>
      </c>
      <c r="H3" s="9" t="s">
        <v>8</v>
      </c>
      <c r="I3" s="64">
        <f>AK12</f>
        <v>1.1000000000000001</v>
      </c>
      <c r="J3" s="64">
        <f>AU12</f>
        <v>1.08</v>
      </c>
      <c r="K3" s="10">
        <f>PI()*(12/12)*(6/12)*N3</f>
        <v>28.274333882308138</v>
      </c>
      <c r="L3" s="10"/>
      <c r="M3" s="11">
        <f>K3*0.037037037</f>
        <v>1.0471975501494002</v>
      </c>
      <c r="N3" s="12">
        <f>4+(ROUND((high/E3-1),0)*2)</f>
        <v>18</v>
      </c>
      <c r="P3" t="s">
        <v>9</v>
      </c>
      <c r="Q3">
        <v>18.45</v>
      </c>
      <c r="S3" t="s">
        <v>7</v>
      </c>
      <c r="AG3" s="12"/>
      <c r="AH3" s="29"/>
      <c r="AI3"/>
      <c r="AJ3"/>
      <c r="AK3"/>
      <c r="AL3" s="29"/>
      <c r="AM3" s="29"/>
      <c r="AN3" s="29"/>
      <c r="AQ3" s="12"/>
      <c r="AS3"/>
      <c r="AT3"/>
      <c r="AU3"/>
    </row>
    <row r="4" spans="1:75" x14ac:dyDescent="0.25">
      <c r="E4" s="76" t="str">
        <f>N2</f>
        <v>Post No.</v>
      </c>
      <c r="K4" s="10">
        <f>IF(F3=1,wide*(6/12)*high,0)</f>
        <v>1200</v>
      </c>
      <c r="L4" s="10"/>
      <c r="M4" s="11">
        <f>K4*0.037037037</f>
        <v>44.444444400000002</v>
      </c>
      <c r="N4" s="13"/>
      <c r="AH4" s="29"/>
      <c r="AI4"/>
      <c r="AJ4"/>
      <c r="AK4"/>
      <c r="AL4" s="29"/>
      <c r="AM4" s="29"/>
      <c r="AN4" s="42"/>
      <c r="AQ4" s="2"/>
      <c r="AS4"/>
      <c r="AT4"/>
      <c r="AU4"/>
      <c r="AX4" s="42"/>
    </row>
    <row r="5" spans="1:75" ht="19.5" thickBot="1" x14ac:dyDescent="0.35">
      <c r="A5" s="1" t="s">
        <v>300</v>
      </c>
      <c r="B5" s="2"/>
      <c r="C5" s="2"/>
      <c r="D5" s="2"/>
      <c r="E5" s="76">
        <f>N3</f>
        <v>18</v>
      </c>
      <c r="J5" s="14"/>
      <c r="K5" s="10"/>
      <c r="L5" s="11"/>
      <c r="M5" s="15"/>
      <c r="AG5" s="14"/>
      <c r="AH5" t="s">
        <v>14</v>
      </c>
      <c r="AI5"/>
      <c r="AJ5"/>
      <c r="AK5"/>
      <c r="AL5"/>
      <c r="AM5"/>
      <c r="AN5"/>
      <c r="AQ5" s="14"/>
      <c r="AR5"/>
      <c r="AS5"/>
      <c r="AT5"/>
      <c r="AU5"/>
      <c r="AV5"/>
      <c r="AW5"/>
      <c r="AX5"/>
    </row>
    <row r="6" spans="1:75" x14ac:dyDescent="0.25">
      <c r="A6" s="4"/>
      <c r="B6" s="5" t="s">
        <v>328</v>
      </c>
      <c r="C6" s="5" t="s">
        <v>10</v>
      </c>
      <c r="D6" s="5" t="s">
        <v>11</v>
      </c>
      <c r="E6" s="16" t="s">
        <v>12</v>
      </c>
      <c r="F6" s="16" t="s">
        <v>326</v>
      </c>
      <c r="H6" s="17" t="s">
        <v>13</v>
      </c>
      <c r="I6" s="17" t="s">
        <v>325</v>
      </c>
      <c r="L6" s="3"/>
      <c r="M6" s="3"/>
      <c r="N6" s="2"/>
      <c r="AH6" s="2" t="s">
        <v>312</v>
      </c>
      <c r="AI6">
        <f>AM1+AM2+AM3</f>
        <v>2400</v>
      </c>
      <c r="AJ6"/>
      <c r="AK6"/>
      <c r="AL6"/>
      <c r="AM6"/>
      <c r="AN6"/>
      <c r="AQ6" s="2"/>
      <c r="AR6" s="2"/>
      <c r="AS6"/>
      <c r="AT6"/>
      <c r="AU6"/>
      <c r="AV6"/>
      <c r="AW6"/>
      <c r="AX6"/>
    </row>
    <row r="7" spans="1:75" x14ac:dyDescent="0.25">
      <c r="A7" s="18" t="s">
        <v>15</v>
      </c>
      <c r="B7" s="83">
        <f>SUM(R11:R12)*(G3/100)</f>
        <v>10653.888880692</v>
      </c>
      <c r="C7" s="83">
        <f>IF(D3=1,(SUM(R13:R16)-R17),R13)*(G3/100)</f>
        <v>11762.24</v>
      </c>
      <c r="D7" s="83">
        <f>(SUM(R18:R26)-R27)*(G3/100)</f>
        <v>7335.4256409710988</v>
      </c>
      <c r="E7" s="84">
        <f>SUM(B7:D7)</f>
        <v>29751.554521663096</v>
      </c>
      <c r="F7" s="84">
        <f>E7*I3*J3</f>
        <v>35344.846771735763</v>
      </c>
      <c r="H7" s="87">
        <f>E7/(wide*high)</f>
        <v>12.396481050692957</v>
      </c>
      <c r="I7" s="87">
        <f>F7/(wide*high)</f>
        <v>14.727019488223235</v>
      </c>
      <c r="K7" s="19"/>
      <c r="AI7"/>
      <c r="AJ7"/>
      <c r="AK7"/>
      <c r="AL7"/>
      <c r="AM7"/>
      <c r="AN7"/>
      <c r="AQ7" s="2"/>
      <c r="AR7" s="2"/>
      <c r="AS7"/>
      <c r="AT7"/>
      <c r="AU7"/>
      <c r="AV7"/>
      <c r="AW7"/>
      <c r="AX7"/>
    </row>
    <row r="8" spans="1:75" ht="15.75" thickBot="1" x14ac:dyDescent="0.3">
      <c r="A8" s="20" t="s">
        <v>16</v>
      </c>
      <c r="B8" s="85">
        <f>SUM(Q11:Q12)*(G3/100)</f>
        <v>14278.444434000001</v>
      </c>
      <c r="C8" s="85">
        <f>IF(D3=1,(SUM(Q13:Q16)-Q17), Q13)*(G3/100)</f>
        <v>15924.6</v>
      </c>
      <c r="D8" s="85">
        <f>(SUM(Q18:Q26)-Q27)*(G3/100)</f>
        <v>10027.374881830616</v>
      </c>
      <c r="E8" s="86">
        <f>SUM(B8:D8)</f>
        <v>40230.419315830615</v>
      </c>
      <c r="F8" s="86">
        <f>E8*I3*J3</f>
        <v>47793.738147206779</v>
      </c>
      <c r="H8" s="87">
        <f>E8/(wide*high)</f>
        <v>16.762674714929425</v>
      </c>
      <c r="I8" s="87">
        <f>F8/(wide*high)</f>
        <v>19.914057561336158</v>
      </c>
      <c r="AI8"/>
      <c r="AJ8"/>
      <c r="AK8"/>
      <c r="AL8"/>
      <c r="AM8"/>
      <c r="AN8"/>
      <c r="AQ8" s="2"/>
      <c r="AR8" s="2"/>
      <c r="AS8"/>
      <c r="AT8"/>
      <c r="AU8"/>
      <c r="AV8"/>
      <c r="AW8"/>
      <c r="AX8"/>
    </row>
    <row r="9" spans="1:75" x14ac:dyDescent="0.25">
      <c r="AH9" s="2" t="s">
        <v>322</v>
      </c>
      <c r="AI9" t="s">
        <v>313</v>
      </c>
      <c r="AJ9"/>
      <c r="AK9">
        <v>9300</v>
      </c>
      <c r="AL9"/>
      <c r="AM9"/>
      <c r="AN9"/>
      <c r="AQ9" s="2"/>
      <c r="AR9" s="2"/>
      <c r="AS9"/>
      <c r="AT9"/>
      <c r="AU9"/>
      <c r="AV9"/>
      <c r="AW9"/>
      <c r="AX9"/>
    </row>
    <row r="10" spans="1:75" s="2" customFormat="1" x14ac:dyDescent="0.25">
      <c r="A10" s="3" t="s">
        <v>17</v>
      </c>
      <c r="D10" s="21" t="s">
        <v>18</v>
      </c>
      <c r="E10" s="21" t="s">
        <v>278</v>
      </c>
      <c r="F10" s="21" t="s">
        <v>341</v>
      </c>
      <c r="G10" s="21" t="s">
        <v>342</v>
      </c>
      <c r="H10" s="21" t="s">
        <v>19</v>
      </c>
      <c r="I10" s="21" t="s">
        <v>20</v>
      </c>
      <c r="J10" s="21" t="s">
        <v>21</v>
      </c>
      <c r="K10" s="21" t="s">
        <v>22</v>
      </c>
      <c r="L10" s="21" t="s">
        <v>23</v>
      </c>
      <c r="M10" s="21" t="s">
        <v>24</v>
      </c>
      <c r="N10" s="21" t="s">
        <v>25</v>
      </c>
      <c r="O10" s="21" t="s">
        <v>26</v>
      </c>
      <c r="P10" s="21" t="s">
        <v>27</v>
      </c>
      <c r="Q10" s="21" t="s">
        <v>28</v>
      </c>
      <c r="R10" s="21" t="s">
        <v>29</v>
      </c>
      <c r="S10" s="21" t="s">
        <v>30</v>
      </c>
      <c r="Z10">
        <v>17</v>
      </c>
      <c r="AA10">
        <v>5.7500000000000002E-2</v>
      </c>
      <c r="AB10">
        <v>1.4610000000000001</v>
      </c>
      <c r="AC10">
        <v>2.3460000000000001</v>
      </c>
      <c r="AD10">
        <v>11.452999999999999</v>
      </c>
      <c r="AE10"/>
      <c r="AF10"/>
      <c r="AI10"/>
      <c r="AJ10"/>
      <c r="AK10"/>
      <c r="AL10"/>
      <c r="AM10"/>
      <c r="AN10"/>
      <c r="AO10" s="29"/>
      <c r="AP10" s="29"/>
      <c r="AS10"/>
      <c r="AT10"/>
      <c r="AU10"/>
      <c r="AV10"/>
      <c r="AW10"/>
      <c r="AX10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48"/>
      <c r="BL10" s="29"/>
      <c r="BM10" s="29"/>
      <c r="BN10" s="29"/>
      <c r="BO10" s="29"/>
      <c r="BP10" s="29"/>
      <c r="BQ10" s="49"/>
      <c r="BR10" s="29"/>
      <c r="BS10"/>
      <c r="BT10" s="22"/>
      <c r="BU10"/>
      <c r="BV10"/>
      <c r="BW10"/>
    </row>
    <row r="11" spans="1:75" s="24" customFormat="1" x14ac:dyDescent="0.25">
      <c r="A11" s="23" t="s">
        <v>279</v>
      </c>
      <c r="B11" s="24" t="s">
        <v>336</v>
      </c>
      <c r="C11" s="24" t="s">
        <v>337</v>
      </c>
      <c r="D11" s="24" t="s">
        <v>338</v>
      </c>
      <c r="E11" s="24" t="s">
        <v>339</v>
      </c>
      <c r="F11" s="24" t="s">
        <v>340</v>
      </c>
      <c r="G11" s="78" t="s">
        <v>343</v>
      </c>
      <c r="H11" s="24">
        <v>1550</v>
      </c>
      <c r="I11" s="24">
        <v>21.5</v>
      </c>
      <c r="J11" s="24">
        <v>115</v>
      </c>
      <c r="L11" s="24">
        <f t="shared" ref="L11:L17" si="0">SUM(I11:K11)</f>
        <v>136.5</v>
      </c>
      <c r="M11" s="24">
        <v>213</v>
      </c>
      <c r="N11" s="24" t="s">
        <v>274</v>
      </c>
      <c r="P11" s="46">
        <f>4+(ROUND((high/E3-1),0)*2)</f>
        <v>18</v>
      </c>
      <c r="Q11" s="46">
        <f>P11*M11</f>
        <v>3834</v>
      </c>
      <c r="R11" s="46">
        <f>P11*L11</f>
        <v>2457</v>
      </c>
      <c r="Z11" s="25"/>
      <c r="AA11" s="25"/>
      <c r="AB11" s="25"/>
      <c r="AC11" s="25"/>
      <c r="AD11" s="25"/>
      <c r="AE11" s="25"/>
      <c r="AF11" s="25"/>
      <c r="AG11" s="2"/>
      <c r="AH11" s="2"/>
      <c r="AI11" s="50" t="s">
        <v>314</v>
      </c>
      <c r="AJ11"/>
      <c r="AK11" s="51">
        <f>ROUND((AI6/AK9),2)</f>
        <v>0.26</v>
      </c>
      <c r="AL11"/>
      <c r="AM11"/>
      <c r="AN11"/>
      <c r="AO11" s="29"/>
      <c r="AP11" s="29"/>
      <c r="AQ11" s="2"/>
      <c r="AR11" s="2"/>
      <c r="AS11" s="36" t="s">
        <v>315</v>
      </c>
      <c r="AT11"/>
      <c r="AU11" s="51">
        <f>AT1</f>
        <v>18</v>
      </c>
      <c r="AV11"/>
      <c r="AW11"/>
      <c r="AX11"/>
      <c r="AY11" s="29"/>
      <c r="AZ11" s="29"/>
      <c r="BA11" s="29"/>
      <c r="BB11" s="21"/>
      <c r="BC11" s="29"/>
      <c r="BD11" s="29"/>
      <c r="BE11" s="29"/>
      <c r="BF11" s="29"/>
      <c r="BG11" s="29"/>
      <c r="BH11" s="29"/>
      <c r="BI11" s="29"/>
      <c r="BJ11" s="29"/>
      <c r="BK11" s="48"/>
      <c r="BL11" s="29"/>
      <c r="BM11" s="29"/>
      <c r="BN11" s="29"/>
      <c r="BO11" s="29"/>
      <c r="BP11" s="29"/>
      <c r="BQ11" s="49"/>
      <c r="BR11" s="29"/>
      <c r="BS11" s="25"/>
      <c r="BT11" s="26"/>
      <c r="BU11" s="25"/>
      <c r="BV11" s="25"/>
      <c r="BW11" s="25"/>
    </row>
    <row r="12" spans="1:75" s="29" customFormat="1" x14ac:dyDescent="0.25">
      <c r="A12" s="21"/>
      <c r="B12" s="29" t="s">
        <v>331</v>
      </c>
      <c r="C12" s="29" t="s">
        <v>32</v>
      </c>
      <c r="D12" s="29" t="s">
        <v>33</v>
      </c>
      <c r="E12" s="29" t="s">
        <v>332</v>
      </c>
      <c r="F12" s="29" t="s">
        <v>333</v>
      </c>
      <c r="G12" s="77" t="s">
        <v>344</v>
      </c>
      <c r="H12" s="29">
        <v>4650</v>
      </c>
      <c r="I12" s="29">
        <v>127</v>
      </c>
      <c r="J12" s="29">
        <v>57</v>
      </c>
      <c r="K12" s="29">
        <v>0.43</v>
      </c>
      <c r="L12" s="29">
        <f t="shared" si="0"/>
        <v>184.43</v>
      </c>
      <c r="M12" s="29">
        <v>235</v>
      </c>
      <c r="N12" s="29" t="s">
        <v>329</v>
      </c>
      <c r="P12" s="71">
        <f>M4</f>
        <v>44.444444400000002</v>
      </c>
      <c r="Q12" s="75">
        <f>P12*M12</f>
        <v>10444.444434000001</v>
      </c>
      <c r="R12" s="75">
        <f>P12*L12</f>
        <v>8196.8888806920004</v>
      </c>
      <c r="Z12" s="32"/>
      <c r="AA12" s="32"/>
      <c r="AB12" s="32"/>
      <c r="AC12" s="32"/>
      <c r="AD12" s="32"/>
      <c r="AE12" s="32"/>
      <c r="AF12" s="32"/>
      <c r="AI12" s="72" t="s">
        <v>316</v>
      </c>
      <c r="AJ12" s="32"/>
      <c r="AK12" s="63">
        <f>IF(AK11&gt;=0.5,VLOOKUP(MATCH(AK11,AK16:AK72,1),AM16:AN72,2),1.1)</f>
        <v>1.1000000000000001</v>
      </c>
      <c r="AL12" s="32"/>
      <c r="AM12" s="32"/>
      <c r="AN12" s="32"/>
      <c r="AS12" s="73" t="s">
        <v>317</v>
      </c>
      <c r="AT12" s="32"/>
      <c r="AU12" s="63">
        <f>VLOOKUP(AT1,$AU$16:$AV$88,2)</f>
        <v>1.08</v>
      </c>
      <c r="AV12" s="32"/>
      <c r="AW12" s="32"/>
      <c r="AX12" s="32"/>
    </row>
    <row r="13" spans="1:75" s="24" customFormat="1" x14ac:dyDescent="0.25">
      <c r="A13" s="23" t="s">
        <v>34</v>
      </c>
      <c r="B13" s="24" t="s">
        <v>303</v>
      </c>
      <c r="C13" s="47" t="s">
        <v>282</v>
      </c>
      <c r="D13" s="24" t="s">
        <v>31</v>
      </c>
      <c r="E13" s="24" t="s">
        <v>280</v>
      </c>
      <c r="F13" s="24" t="s">
        <v>334</v>
      </c>
      <c r="G13" s="78" t="s">
        <v>335</v>
      </c>
      <c r="H13" s="24">
        <v>250</v>
      </c>
      <c r="I13" s="24">
        <v>4.87</v>
      </c>
      <c r="J13" s="24">
        <v>2.97</v>
      </c>
      <c r="L13" s="24">
        <f t="shared" si="0"/>
        <v>7.84</v>
      </c>
      <c r="M13" s="24">
        <v>10.25</v>
      </c>
      <c r="N13" s="24" t="s">
        <v>281</v>
      </c>
      <c r="P13" s="24">
        <f>N3</f>
        <v>18</v>
      </c>
      <c r="Q13" s="46">
        <f>P13*M13*(eheight+4)</f>
        <v>4059</v>
      </c>
      <c r="R13" s="46">
        <f>P13*L13*(eheight+4)</f>
        <v>3104.6400000000003</v>
      </c>
      <c r="Z13" s="25"/>
      <c r="AA13" s="25"/>
      <c r="AB13" s="25"/>
      <c r="AC13" s="25"/>
      <c r="AD13" s="25"/>
      <c r="AE13" s="25"/>
      <c r="AF13" s="25"/>
      <c r="AG13" s="52"/>
      <c r="AH13" s="52"/>
      <c r="AI13" s="53"/>
      <c r="AJ13" s="53"/>
      <c r="AK13" s="53"/>
      <c r="AL13" s="53"/>
      <c r="AM13" s="53"/>
      <c r="AN13" s="53"/>
      <c r="AO13" s="52"/>
      <c r="AP13" s="52"/>
      <c r="AQ13" s="52"/>
      <c r="AR13" s="52"/>
      <c r="AS13" s="53"/>
      <c r="AT13" s="53"/>
      <c r="AU13" s="53"/>
      <c r="AV13" s="53"/>
      <c r="AW13" s="53"/>
      <c r="AX13" s="53"/>
      <c r="AY13" s="52"/>
      <c r="AZ13" s="52"/>
      <c r="BA13" s="52"/>
      <c r="BB13" s="52"/>
      <c r="BC13" s="52"/>
      <c r="BD13" s="52"/>
      <c r="BE13" s="52"/>
      <c r="BF13" s="55"/>
      <c r="BG13" s="52"/>
      <c r="BH13" s="55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25"/>
      <c r="BT13" s="25"/>
      <c r="BU13" s="25"/>
    </row>
    <row r="14" spans="1:75" s="29" customFormat="1" x14ac:dyDescent="0.25">
      <c r="B14" s="29" t="s">
        <v>35</v>
      </c>
      <c r="C14" s="29" t="s">
        <v>283</v>
      </c>
      <c r="D14" s="29" t="s">
        <v>31</v>
      </c>
      <c r="E14" s="29" t="s">
        <v>347</v>
      </c>
      <c r="F14" s="29" t="s">
        <v>345</v>
      </c>
      <c r="G14" s="77" t="s">
        <v>346</v>
      </c>
      <c r="H14" s="29">
        <v>5027</v>
      </c>
      <c r="I14" s="29">
        <v>0.28999999999999998</v>
      </c>
      <c r="J14" s="29">
        <v>0.67</v>
      </c>
      <c r="L14" s="29">
        <f t="shared" ref="L14" si="1">SUM(I14:K14)</f>
        <v>0.96</v>
      </c>
      <c r="M14" s="29">
        <v>1.42</v>
      </c>
      <c r="N14" s="29" t="s">
        <v>285</v>
      </c>
      <c r="P14" s="29">
        <f>wide*(eheight/2)*1+high*(eheight/2)*2</f>
        <v>1440</v>
      </c>
      <c r="Q14" s="75">
        <f>P14*M14</f>
        <v>2044.8</v>
      </c>
      <c r="R14" s="75">
        <f>P14*L14</f>
        <v>1382.3999999999999</v>
      </c>
      <c r="Z14" s="32"/>
      <c r="AA14" s="32"/>
      <c r="AB14" s="32"/>
      <c r="AC14" s="32"/>
      <c r="AD14" s="32"/>
      <c r="AE14" s="32"/>
      <c r="AF14" s="32"/>
      <c r="AH14" s="21" t="s">
        <v>318</v>
      </c>
      <c r="AI14" s="32"/>
      <c r="AJ14" s="32"/>
      <c r="AK14" s="32"/>
      <c r="AL14" s="32"/>
      <c r="AM14" s="32"/>
      <c r="AN14" s="32"/>
      <c r="AR14" s="21" t="s">
        <v>318</v>
      </c>
      <c r="AS14" s="32"/>
      <c r="AT14" s="32"/>
      <c r="AU14" s="32"/>
      <c r="AV14" s="32"/>
      <c r="AW14" s="32"/>
      <c r="AX14" s="32"/>
      <c r="BF14" s="42"/>
      <c r="BH14" s="42"/>
      <c r="BS14" s="32"/>
      <c r="BT14" s="34"/>
      <c r="BU14" s="35"/>
    </row>
    <row r="15" spans="1:75" s="29" customFormat="1" x14ac:dyDescent="0.25">
      <c r="C15" s="29" t="s">
        <v>284</v>
      </c>
      <c r="D15" s="29" t="s">
        <v>31</v>
      </c>
      <c r="E15" s="29" t="s">
        <v>348</v>
      </c>
      <c r="F15" s="29" t="s">
        <v>350</v>
      </c>
      <c r="G15" s="77" t="s">
        <v>349</v>
      </c>
      <c r="H15" s="29">
        <v>5041</v>
      </c>
      <c r="I15" s="29">
        <v>0.52</v>
      </c>
      <c r="J15" s="29">
        <v>0.85</v>
      </c>
      <c r="L15" s="29">
        <f t="shared" ref="L15" si="2">SUM(I15:K15)</f>
        <v>1.37</v>
      </c>
      <c r="M15" s="29">
        <v>1.98</v>
      </c>
      <c r="N15" s="29" t="s">
        <v>286</v>
      </c>
      <c r="P15" s="29">
        <f>wide*1+high*2</f>
        <v>160</v>
      </c>
      <c r="Q15" s="75">
        <f>P15*M15</f>
        <v>316.8</v>
      </c>
      <c r="R15" s="75">
        <f>P15*L15</f>
        <v>219.20000000000002</v>
      </c>
      <c r="Z15" s="32"/>
      <c r="AA15" s="32"/>
      <c r="AB15" s="32"/>
      <c r="AC15" s="32"/>
      <c r="AD15" s="32"/>
      <c r="AE15" s="32"/>
      <c r="AF15" s="32"/>
      <c r="AI15" s="32"/>
      <c r="AJ15" s="32"/>
      <c r="AK15" s="32" t="s">
        <v>319</v>
      </c>
      <c r="AL15" s="32" t="s">
        <v>320</v>
      </c>
      <c r="AM15" s="32"/>
      <c r="AN15" s="32"/>
      <c r="AS15" s="32"/>
      <c r="AT15" s="32"/>
      <c r="AU15" s="32" t="s">
        <v>315</v>
      </c>
      <c r="AV15" s="32" t="s">
        <v>317</v>
      </c>
      <c r="AW15" s="32"/>
      <c r="AX15" s="32"/>
      <c r="BF15" s="42"/>
      <c r="BH15" s="42"/>
      <c r="BS15" s="32"/>
      <c r="BT15" s="34"/>
      <c r="BU15" s="35"/>
    </row>
    <row r="16" spans="1:75" s="29" customFormat="1" x14ac:dyDescent="0.25">
      <c r="C16" s="29" t="s">
        <v>37</v>
      </c>
      <c r="D16" s="29" t="s">
        <v>36</v>
      </c>
      <c r="E16" s="29" t="s">
        <v>38</v>
      </c>
      <c r="F16" s="29" t="s">
        <v>351</v>
      </c>
      <c r="G16" s="77" t="s">
        <v>352</v>
      </c>
      <c r="H16" s="29">
        <v>12</v>
      </c>
      <c r="I16" s="29">
        <v>1.35</v>
      </c>
      <c r="J16" s="29">
        <v>1.63</v>
      </c>
      <c r="L16" s="29">
        <f t="shared" ref="L16" si="3">SUM(I16:K16)</f>
        <v>2.98</v>
      </c>
      <c r="M16" s="29">
        <v>4.12</v>
      </c>
      <c r="N16" s="29" t="s">
        <v>287</v>
      </c>
      <c r="P16" s="29">
        <f>wide*eheight*1+high*eheight*2</f>
        <v>2880</v>
      </c>
      <c r="Q16" s="75">
        <f>P16*M16</f>
        <v>11865.6</v>
      </c>
      <c r="R16" s="75">
        <f>P16*L16</f>
        <v>8582.4</v>
      </c>
      <c r="Y16" s="29" t="e">
        <f>(((TAN(#REF!*PI()/180)*(wide-door))^2+(wide-door)^2)^0.5)</f>
        <v>#REF!</v>
      </c>
      <c r="Z16" s="32"/>
      <c r="AA16" s="32"/>
      <c r="AB16" s="32"/>
      <c r="AC16" s="32"/>
      <c r="AD16" s="32"/>
      <c r="AE16" s="32"/>
      <c r="AF16" s="32"/>
      <c r="AI16" s="32"/>
      <c r="AJ16" s="32"/>
      <c r="AK16" s="32">
        <v>0.5</v>
      </c>
      <c r="AL16" s="33">
        <v>1.1000000000000001</v>
      </c>
      <c r="AM16" s="32">
        <v>1</v>
      </c>
      <c r="AN16" s="33">
        <f>AL16</f>
        <v>1.1000000000000001</v>
      </c>
      <c r="AS16" s="32"/>
      <c r="AT16" s="32"/>
      <c r="AU16" s="32">
        <v>8</v>
      </c>
      <c r="AV16" s="33">
        <v>0.88</v>
      </c>
      <c r="AW16" s="32"/>
      <c r="AX16" s="33"/>
      <c r="BF16" s="42"/>
      <c r="BH16" s="42"/>
      <c r="BS16" s="32"/>
      <c r="BT16" s="34"/>
      <c r="BU16" s="35"/>
    </row>
    <row r="17" spans="1:73" s="24" customFormat="1" x14ac:dyDescent="0.25">
      <c r="A17" s="29"/>
      <c r="B17" s="29"/>
      <c r="C17" s="29" t="s">
        <v>353</v>
      </c>
      <c r="D17" s="29" t="s">
        <v>36</v>
      </c>
      <c r="E17" s="29" t="s">
        <v>354</v>
      </c>
      <c r="F17" s="29" t="s">
        <v>355</v>
      </c>
      <c r="G17" s="77" t="s">
        <v>356</v>
      </c>
      <c r="H17" s="29">
        <v>3300</v>
      </c>
      <c r="I17" s="29">
        <v>0.08</v>
      </c>
      <c r="J17" s="29">
        <v>0.45</v>
      </c>
      <c r="K17" s="29"/>
      <c r="L17" s="29">
        <f t="shared" si="0"/>
        <v>0.53</v>
      </c>
      <c r="M17" s="29">
        <v>0.82</v>
      </c>
      <c r="N17" s="29" t="s">
        <v>357</v>
      </c>
      <c r="O17" s="29"/>
      <c r="P17" s="29">
        <f>wide*eheight*1+high*eheight*2</f>
        <v>2880</v>
      </c>
      <c r="Q17" s="75">
        <f>P17*M17</f>
        <v>2361.6</v>
      </c>
      <c r="R17" s="75">
        <f>P17*L17</f>
        <v>1526.4</v>
      </c>
      <c r="S17" s="29"/>
      <c r="T17" s="29"/>
      <c r="U17" s="29"/>
      <c r="V17" s="29"/>
      <c r="W17" s="29"/>
      <c r="X17" s="29"/>
      <c r="Z17" s="25"/>
      <c r="AA17" s="25"/>
      <c r="AB17" s="25"/>
      <c r="AC17" s="25"/>
      <c r="AD17" s="25"/>
      <c r="AE17" s="25"/>
      <c r="AF17" s="25"/>
      <c r="AG17" s="52"/>
      <c r="AH17" s="52"/>
      <c r="AI17" s="53"/>
      <c r="AJ17" s="53"/>
      <c r="AK17" s="53">
        <v>0.55000000000000004</v>
      </c>
      <c r="AL17" s="56">
        <f>AL16-(AL$40-AL$50)/10</f>
        <v>1.0967000000000002</v>
      </c>
      <c r="AM17" s="53">
        <v>2</v>
      </c>
      <c r="AN17" s="56">
        <f t="shared" ref="AN17:AN72" si="4">AL17</f>
        <v>1.0967000000000002</v>
      </c>
      <c r="AO17" s="52"/>
      <c r="AP17" s="52"/>
      <c r="AQ17" s="52"/>
      <c r="AR17" s="52"/>
      <c r="AS17" s="53"/>
      <c r="AT17" s="53"/>
      <c r="AU17" s="53">
        <v>9</v>
      </c>
      <c r="AV17" s="56">
        <v>0.9</v>
      </c>
      <c r="AW17" s="53"/>
      <c r="AX17" s="56"/>
      <c r="AY17" s="52"/>
      <c r="AZ17" s="52"/>
      <c r="BA17" s="52"/>
      <c r="BB17" s="52"/>
      <c r="BC17" s="52"/>
      <c r="BD17" s="52"/>
      <c r="BE17" s="52"/>
      <c r="BF17" s="55"/>
      <c r="BG17" s="52"/>
      <c r="BH17" s="55"/>
      <c r="BI17" s="52"/>
      <c r="BJ17" s="52"/>
      <c r="BK17" s="52"/>
      <c r="BL17" s="52"/>
      <c r="BM17" s="57"/>
      <c r="BN17" s="52"/>
      <c r="BO17" s="52"/>
      <c r="BP17" s="52"/>
      <c r="BQ17" s="58"/>
      <c r="BR17" s="59"/>
      <c r="BS17" s="25"/>
      <c r="BT17" s="27"/>
      <c r="BU17" s="28"/>
    </row>
    <row r="18" spans="1:73" s="29" customFormat="1" x14ac:dyDescent="0.25">
      <c r="A18" s="23" t="s">
        <v>11</v>
      </c>
      <c r="B18" s="24" t="s">
        <v>39</v>
      </c>
      <c r="C18" s="24" t="s">
        <v>40</v>
      </c>
      <c r="D18" s="24" t="s">
        <v>31</v>
      </c>
      <c r="E18" s="24" t="s">
        <v>41</v>
      </c>
      <c r="F18" s="24" t="s">
        <v>364</v>
      </c>
      <c r="G18" s="78" t="s">
        <v>365</v>
      </c>
      <c r="H18" s="24">
        <v>1025</v>
      </c>
      <c r="I18" s="24">
        <v>0.71</v>
      </c>
      <c r="J18" s="24">
        <v>0.85</v>
      </c>
      <c r="K18" s="24"/>
      <c r="L18" s="24">
        <f t="shared" ref="L18:L19" si="5">SUM(I18:K18)</f>
        <v>1.56</v>
      </c>
      <c r="M18" s="24">
        <v>2.1800000000000002</v>
      </c>
      <c r="N18" s="24" t="s">
        <v>42</v>
      </c>
      <c r="O18" s="24"/>
      <c r="P18" s="24">
        <f>high*2</f>
        <v>120</v>
      </c>
      <c r="Q18" s="46">
        <f>P18*M18</f>
        <v>261.60000000000002</v>
      </c>
      <c r="R18" s="46">
        <f>P18*L18</f>
        <v>187.20000000000002</v>
      </c>
      <c r="S18" s="24"/>
      <c r="T18" s="24"/>
      <c r="U18" s="24"/>
      <c r="V18" s="24"/>
      <c r="W18" s="24"/>
      <c r="X18" s="24"/>
      <c r="Z18" s="32"/>
      <c r="AA18" s="32"/>
      <c r="AB18" s="32"/>
      <c r="AC18" s="32"/>
      <c r="AD18" s="32"/>
      <c r="AE18" s="32"/>
      <c r="AF18" s="32"/>
      <c r="AI18" s="32"/>
      <c r="AJ18" s="32"/>
      <c r="AK18" s="32">
        <v>0.6</v>
      </c>
      <c r="AL18" s="33">
        <f t="shared" ref="AL18:AL25" si="6">AL17-(AL$40-AL$50)/10</f>
        <v>1.0934000000000004</v>
      </c>
      <c r="AM18" s="32">
        <v>3</v>
      </c>
      <c r="AN18" s="33">
        <f t="shared" si="4"/>
        <v>1.0934000000000004</v>
      </c>
      <c r="AS18" s="32"/>
      <c r="AT18" s="32"/>
      <c r="AU18" s="32">
        <v>10</v>
      </c>
      <c r="AV18" s="33">
        <v>0.92</v>
      </c>
      <c r="AW18" s="32"/>
      <c r="AX18" s="33"/>
      <c r="BF18" s="42"/>
      <c r="BH18" s="42"/>
      <c r="BM18" s="60"/>
      <c r="BQ18" s="61"/>
      <c r="BR18" s="62"/>
      <c r="BS18" s="32"/>
      <c r="BT18" s="34"/>
      <c r="BU18" s="35"/>
    </row>
    <row r="19" spans="1:73" s="29" customFormat="1" x14ac:dyDescent="0.25">
      <c r="C19" s="29" t="s">
        <v>298</v>
      </c>
      <c r="D19" s="29" t="s">
        <v>31</v>
      </c>
      <c r="E19" s="29" t="s">
        <v>43</v>
      </c>
      <c r="F19" s="29" t="s">
        <v>366</v>
      </c>
      <c r="G19" s="77" t="s">
        <v>367</v>
      </c>
      <c r="H19" s="29">
        <v>5000</v>
      </c>
      <c r="I19" s="29">
        <v>0.52</v>
      </c>
      <c r="J19" s="29">
        <v>0.64</v>
      </c>
      <c r="L19" s="29">
        <f t="shared" si="5"/>
        <v>1.1600000000000001</v>
      </c>
      <c r="M19" s="29">
        <v>1.63</v>
      </c>
      <c r="N19" s="29" t="s">
        <v>44</v>
      </c>
      <c r="P19" s="29">
        <f>(((TAN(Q2*PI()/180)*(wide/2)))^2+(wide/2)^2)^0.5</f>
        <v>21.083697972353619</v>
      </c>
      <c r="Q19" s="75">
        <f>P19*M19*(N3/2)</f>
        <v>309.2978492544276</v>
      </c>
      <c r="R19" s="75">
        <f>P19*L19*(N3/2)</f>
        <v>220.11380683137179</v>
      </c>
      <c r="Z19" s="32"/>
      <c r="AA19" s="32"/>
      <c r="AB19" s="32"/>
      <c r="AC19" s="32"/>
      <c r="AD19" s="32"/>
      <c r="AE19" s="32"/>
      <c r="AF19" s="32"/>
      <c r="AI19" s="32"/>
      <c r="AJ19" s="32"/>
      <c r="AK19" s="32">
        <v>0.65</v>
      </c>
      <c r="AL19" s="33">
        <f t="shared" si="6"/>
        <v>1.0901000000000005</v>
      </c>
      <c r="AM19" s="32">
        <v>4</v>
      </c>
      <c r="AN19" s="33">
        <f t="shared" si="4"/>
        <v>1.0901000000000005</v>
      </c>
      <c r="AS19" s="32"/>
      <c r="AT19" s="32"/>
      <c r="AU19" s="32">
        <v>11</v>
      </c>
      <c r="AV19" s="33">
        <v>0.94</v>
      </c>
      <c r="AW19" s="32"/>
      <c r="AX19" s="33"/>
      <c r="BF19" s="42"/>
      <c r="BH19" s="42"/>
      <c r="BM19" s="60"/>
      <c r="BQ19" s="61"/>
      <c r="BR19" s="62"/>
      <c r="BS19" s="32"/>
      <c r="BT19" s="34"/>
      <c r="BU19" s="35"/>
    </row>
    <row r="20" spans="1:73" s="29" customFormat="1" x14ac:dyDescent="0.25">
      <c r="C20" s="29" t="s">
        <v>299</v>
      </c>
      <c r="D20" s="29" t="s">
        <v>31</v>
      </c>
      <c r="E20" s="29" t="s">
        <v>43</v>
      </c>
      <c r="F20" s="29" t="s">
        <v>366</v>
      </c>
      <c r="G20" s="77" t="s">
        <v>367</v>
      </c>
      <c r="H20" s="29">
        <v>5000</v>
      </c>
      <c r="I20" s="29">
        <v>0.52</v>
      </c>
      <c r="J20" s="29">
        <v>0.64</v>
      </c>
      <c r="L20" s="29">
        <f t="shared" ref="L20" si="7">SUM(I20:K20)</f>
        <v>1.1600000000000001</v>
      </c>
      <c r="M20" s="29">
        <v>1.63</v>
      </c>
      <c r="N20" s="29" t="s">
        <v>44</v>
      </c>
      <c r="P20" s="29">
        <f>(((TAN(Q3*PI()/180)*(wide/2)))^2+(wide/2)^2)^0.5</f>
        <v>21.083697972353619</v>
      </c>
      <c r="Q20" s="75">
        <f>P20*M20*(N3/2)</f>
        <v>309.2978492544276</v>
      </c>
      <c r="R20" s="75">
        <f>P20*L20*(N3/2)</f>
        <v>220.11380683137179</v>
      </c>
      <c r="Z20" s="32"/>
      <c r="AA20" s="32"/>
      <c r="AB20" s="32"/>
      <c r="AC20" s="32"/>
      <c r="AD20" s="32"/>
      <c r="AE20" s="32"/>
      <c r="AF20" s="32"/>
      <c r="AI20" s="32"/>
      <c r="AJ20" s="32"/>
      <c r="AK20" s="32">
        <v>0.7</v>
      </c>
      <c r="AL20" s="33">
        <f t="shared" si="6"/>
        <v>1.0868000000000007</v>
      </c>
      <c r="AM20" s="32">
        <v>5</v>
      </c>
      <c r="AN20" s="33">
        <f t="shared" si="4"/>
        <v>1.0868000000000007</v>
      </c>
      <c r="AS20" s="32"/>
      <c r="AT20" s="32"/>
      <c r="AU20" s="32">
        <v>12</v>
      </c>
      <c r="AV20" s="33">
        <v>0.96</v>
      </c>
      <c r="AW20" s="32"/>
      <c r="AX20" s="33"/>
      <c r="BF20" s="42"/>
      <c r="BH20" s="42"/>
      <c r="BM20" s="60"/>
      <c r="BQ20" s="61"/>
      <c r="BR20" s="62"/>
      <c r="BS20" s="32"/>
      <c r="BT20" s="34"/>
      <c r="BU20" s="35"/>
    </row>
    <row r="21" spans="1:73" s="29" customFormat="1" x14ac:dyDescent="0.25">
      <c r="C21" s="29" t="s">
        <v>296</v>
      </c>
      <c r="D21" s="29" t="s">
        <v>31</v>
      </c>
      <c r="E21" s="29" t="s">
        <v>347</v>
      </c>
      <c r="F21" s="29" t="s">
        <v>345</v>
      </c>
      <c r="G21" s="77" t="s">
        <v>346</v>
      </c>
      <c r="H21" s="29">
        <v>5027</v>
      </c>
      <c r="I21" s="29">
        <v>0.28999999999999998</v>
      </c>
      <c r="J21" s="29">
        <v>0.67</v>
      </c>
      <c r="L21" s="29">
        <f t="shared" ref="L21" si="8">SUM(I21:K21)</f>
        <v>0.96</v>
      </c>
      <c r="M21" s="29">
        <v>1.42</v>
      </c>
      <c r="N21" s="29" t="s">
        <v>297</v>
      </c>
      <c r="P21" s="29">
        <f>(a/2)*(N3/2-2)</f>
        <v>140</v>
      </c>
      <c r="Q21" s="75">
        <f>P21*M21</f>
        <v>198.79999999999998</v>
      </c>
      <c r="R21" s="75">
        <f>P21*L21</f>
        <v>134.4</v>
      </c>
      <c r="Z21" s="32"/>
      <c r="AA21" s="32"/>
      <c r="AB21" s="32"/>
      <c r="AC21" s="32"/>
      <c r="AD21" s="32"/>
      <c r="AE21" s="32"/>
      <c r="AF21" s="32"/>
      <c r="AI21" s="32"/>
      <c r="AJ21" s="32"/>
      <c r="AK21" s="32">
        <v>0.75</v>
      </c>
      <c r="AL21" s="33">
        <f t="shared" si="6"/>
        <v>1.0835000000000008</v>
      </c>
      <c r="AM21" s="32">
        <v>6</v>
      </c>
      <c r="AN21" s="33">
        <f t="shared" si="4"/>
        <v>1.0835000000000008</v>
      </c>
      <c r="AS21" s="32"/>
      <c r="AT21" s="32"/>
      <c r="AU21" s="32">
        <v>13</v>
      </c>
      <c r="AV21" s="33">
        <v>0.98</v>
      </c>
      <c r="AW21" s="32"/>
      <c r="AX21" s="33"/>
      <c r="BF21" s="42"/>
      <c r="BH21" s="42"/>
      <c r="BM21" s="60"/>
      <c r="BQ21" s="61"/>
      <c r="BR21" s="62"/>
      <c r="BS21" s="32"/>
      <c r="BT21" s="34"/>
      <c r="BU21" s="35"/>
    </row>
    <row r="22" spans="1:73" s="29" customFormat="1" x14ac:dyDescent="0.25">
      <c r="C22" s="29" t="s">
        <v>288</v>
      </c>
      <c r="D22" s="29" t="s">
        <v>31</v>
      </c>
      <c r="E22" s="29" t="s">
        <v>46</v>
      </c>
      <c r="F22" s="29" t="s">
        <v>368</v>
      </c>
      <c r="G22" s="77" t="s">
        <v>369</v>
      </c>
      <c r="H22" s="29">
        <v>2502</v>
      </c>
      <c r="I22" s="29">
        <v>2.34</v>
      </c>
      <c r="J22" s="29">
        <v>0.8</v>
      </c>
      <c r="L22" s="29">
        <f t="shared" ref="L22" si="9">SUM(I22:K22)</f>
        <v>3.1399999999999997</v>
      </c>
      <c r="M22" s="29">
        <v>3.89</v>
      </c>
      <c r="N22" s="29" t="s">
        <v>47</v>
      </c>
      <c r="P22" s="29">
        <f>wide*(N3/2)</f>
        <v>360</v>
      </c>
      <c r="Q22" s="75">
        <f>P22*M22</f>
        <v>1400.4</v>
      </c>
      <c r="R22" s="75">
        <f>P22*L22</f>
        <v>1130.3999999999999</v>
      </c>
      <c r="Z22" s="32"/>
      <c r="AA22" s="32"/>
      <c r="AB22" s="32"/>
      <c r="AC22" s="32"/>
      <c r="AD22" s="32"/>
      <c r="AE22" s="32"/>
      <c r="AF22" s="32"/>
      <c r="AI22" s="32"/>
      <c r="AJ22" s="32"/>
      <c r="AK22" s="32">
        <v>0.8</v>
      </c>
      <c r="AL22" s="33">
        <f t="shared" si="6"/>
        <v>1.0802000000000009</v>
      </c>
      <c r="AM22" s="32">
        <v>7</v>
      </c>
      <c r="AN22" s="33">
        <f t="shared" si="4"/>
        <v>1.0802000000000009</v>
      </c>
      <c r="AS22" s="32"/>
      <c r="AT22" s="73" t="s">
        <v>321</v>
      </c>
      <c r="AU22" s="32">
        <v>14</v>
      </c>
      <c r="AV22" s="74">
        <v>1</v>
      </c>
      <c r="AW22" s="32"/>
      <c r="AX22" s="33"/>
      <c r="BF22" s="42"/>
      <c r="BH22" s="42"/>
      <c r="BM22" s="60"/>
      <c r="BQ22" s="61"/>
      <c r="BR22" s="62"/>
      <c r="BS22" s="32"/>
      <c r="BT22" s="34"/>
      <c r="BU22" s="35"/>
    </row>
    <row r="23" spans="1:73" s="29" customFormat="1" x14ac:dyDescent="0.25">
      <c r="C23" s="29" t="s">
        <v>48</v>
      </c>
      <c r="D23" s="29" t="s">
        <v>31</v>
      </c>
      <c r="E23" s="29" t="s">
        <v>43</v>
      </c>
      <c r="F23" s="29" t="s">
        <v>370</v>
      </c>
      <c r="G23" s="77" t="s">
        <v>371</v>
      </c>
      <c r="H23" s="29">
        <v>5860</v>
      </c>
      <c r="I23" s="29">
        <v>0.52</v>
      </c>
      <c r="J23" s="29">
        <v>1.28</v>
      </c>
      <c r="L23" s="29">
        <f t="shared" ref="L23:L27" si="10">SUM(I23:K23)</f>
        <v>1.8</v>
      </c>
      <c r="M23" s="29">
        <v>2.68</v>
      </c>
      <c r="N23" s="29" t="s">
        <v>372</v>
      </c>
      <c r="P23" s="29">
        <f>high</f>
        <v>60</v>
      </c>
      <c r="Q23" s="75">
        <f>P23*M23</f>
        <v>160.80000000000001</v>
      </c>
      <c r="R23" s="75">
        <f>P23*L23</f>
        <v>108</v>
      </c>
      <c r="Z23" s="32"/>
      <c r="AA23" s="32"/>
      <c r="AB23" s="32"/>
      <c r="AC23" s="32"/>
      <c r="AD23" s="32"/>
      <c r="AE23" s="32"/>
      <c r="AF23" s="32"/>
      <c r="AI23" s="32"/>
      <c r="AJ23" s="32"/>
      <c r="AK23" s="32">
        <v>0.85</v>
      </c>
      <c r="AL23" s="33">
        <f t="shared" si="6"/>
        <v>1.0769000000000011</v>
      </c>
      <c r="AM23" s="32">
        <v>8</v>
      </c>
      <c r="AN23" s="33">
        <f t="shared" si="4"/>
        <v>1.0769000000000011</v>
      </c>
      <c r="AS23" s="32"/>
      <c r="AT23" s="32"/>
      <c r="AU23" s="32">
        <v>15</v>
      </c>
      <c r="AV23" s="33">
        <v>1.02</v>
      </c>
      <c r="AW23" s="32"/>
      <c r="AX23" s="33"/>
      <c r="BF23" s="42"/>
      <c r="BH23" s="42"/>
      <c r="BM23" s="60"/>
      <c r="BQ23" s="61"/>
      <c r="BR23" s="62"/>
      <c r="BS23" s="32"/>
      <c r="BT23" s="34"/>
      <c r="BU23" s="35"/>
    </row>
    <row r="24" spans="1:73" s="29" customFormat="1" x14ac:dyDescent="0.25">
      <c r="C24" s="29" t="s">
        <v>49</v>
      </c>
      <c r="D24" s="29" t="s">
        <v>31</v>
      </c>
      <c r="E24" s="29" t="s">
        <v>347</v>
      </c>
      <c r="F24" s="29" t="s">
        <v>345</v>
      </c>
      <c r="G24" s="77" t="s">
        <v>346</v>
      </c>
      <c r="H24" s="29">
        <v>5027</v>
      </c>
      <c r="I24" s="29">
        <v>0.28999999999999998</v>
      </c>
      <c r="J24" s="29">
        <v>0.67</v>
      </c>
      <c r="L24" s="29">
        <f t="shared" si="10"/>
        <v>0.96</v>
      </c>
      <c r="M24" s="29">
        <v>1.42</v>
      </c>
      <c r="N24" s="29" t="s">
        <v>50</v>
      </c>
      <c r="P24" s="29">
        <f>(((((TAN(Q2*PI()/180)*(wide/2)))^2+(wide/2)^2)^0.5)/2)*high*2</f>
        <v>1265.0218783412172</v>
      </c>
      <c r="Q24" s="75">
        <f>P24*M24</f>
        <v>1796.3310672445284</v>
      </c>
      <c r="R24" s="75">
        <f>P24*L24</f>
        <v>1214.4210032075684</v>
      </c>
      <c r="Z24" s="32"/>
      <c r="AA24" s="32"/>
      <c r="AB24" s="32"/>
      <c r="AC24" s="32"/>
      <c r="AD24" s="32"/>
      <c r="AE24" s="32"/>
      <c r="AF24" s="32"/>
      <c r="AI24" s="32"/>
      <c r="AJ24" s="32"/>
      <c r="AK24" s="32">
        <v>1.1000000000000001</v>
      </c>
      <c r="AL24" s="33">
        <f>AL23-(AL$40-AL$50)/10</f>
        <v>1.0736000000000012</v>
      </c>
      <c r="AM24" s="32">
        <v>13</v>
      </c>
      <c r="AN24" s="33">
        <f t="shared" si="4"/>
        <v>1.0736000000000012</v>
      </c>
      <c r="AS24" s="32"/>
      <c r="AT24" s="32"/>
      <c r="AU24" s="32">
        <v>16</v>
      </c>
      <c r="AV24" s="33">
        <v>1.04</v>
      </c>
      <c r="AW24" s="32"/>
      <c r="AX24" s="33"/>
      <c r="BF24" s="42"/>
      <c r="BH24" s="42"/>
      <c r="BM24" s="60"/>
      <c r="BQ24" s="61"/>
      <c r="BR24" s="62"/>
      <c r="BS24" s="32"/>
      <c r="BT24" s="34"/>
      <c r="BU24" s="35"/>
    </row>
    <row r="25" spans="1:73" s="29" customFormat="1" x14ac:dyDescent="0.25">
      <c r="C25" s="29" t="s">
        <v>289</v>
      </c>
      <c r="D25" s="29" t="s">
        <v>31</v>
      </c>
      <c r="E25" s="29" t="s">
        <v>295</v>
      </c>
      <c r="F25" s="29" t="s">
        <v>373</v>
      </c>
      <c r="G25" s="77" t="s">
        <v>374</v>
      </c>
      <c r="H25" s="29">
        <v>6500</v>
      </c>
      <c r="I25" s="29">
        <v>0.52</v>
      </c>
      <c r="J25" s="29">
        <v>0.8</v>
      </c>
      <c r="L25" s="29">
        <f t="shared" ref="L25" si="11">SUM(I25:K25)</f>
        <v>1.32</v>
      </c>
      <c r="M25" s="29">
        <v>1.89</v>
      </c>
      <c r="N25" s="29" t="s">
        <v>45</v>
      </c>
      <c r="O25" s="29" t="s">
        <v>290</v>
      </c>
      <c r="P25" s="75">
        <f>SUM(B31:B140)</f>
        <v>46.707533538841211</v>
      </c>
      <c r="Q25" s="75">
        <f>P25*M25*2</f>
        <v>176.55447677681977</v>
      </c>
      <c r="R25" s="75">
        <f>P25*L25*2</f>
        <v>123.30788854254081</v>
      </c>
      <c r="Z25" s="32"/>
      <c r="AA25" s="32"/>
      <c r="AB25" s="32"/>
      <c r="AC25" s="32"/>
      <c r="AD25" s="32"/>
      <c r="AE25" s="32"/>
      <c r="AF25" s="32"/>
      <c r="AI25" s="32"/>
      <c r="AJ25" s="32"/>
      <c r="AK25" s="32">
        <v>1.1499999999999999</v>
      </c>
      <c r="AL25" s="33">
        <f t="shared" si="6"/>
        <v>1.0703000000000014</v>
      </c>
      <c r="AM25" s="32">
        <v>14</v>
      </c>
      <c r="AN25" s="33">
        <f t="shared" si="4"/>
        <v>1.0703000000000014</v>
      </c>
      <c r="AS25" s="32"/>
      <c r="AT25" s="32"/>
      <c r="AU25" s="32">
        <v>17</v>
      </c>
      <c r="AV25" s="33">
        <v>1.06</v>
      </c>
      <c r="AW25" s="32"/>
      <c r="AX25" s="33"/>
      <c r="BF25" s="42"/>
      <c r="BH25" s="42"/>
      <c r="BM25" s="60"/>
      <c r="BQ25" s="61"/>
      <c r="BR25" s="62"/>
      <c r="BS25" s="32"/>
      <c r="BT25" s="34"/>
      <c r="BU25" s="35"/>
    </row>
    <row r="26" spans="1:73" s="29" customFormat="1" x14ac:dyDescent="0.25">
      <c r="B26" s="29" t="s">
        <v>51</v>
      </c>
      <c r="C26" s="29" t="s">
        <v>52</v>
      </c>
      <c r="D26" s="29" t="s">
        <v>36</v>
      </c>
      <c r="E26" s="29" t="s">
        <v>358</v>
      </c>
      <c r="F26" s="29" t="s">
        <v>359</v>
      </c>
      <c r="G26" s="77" t="s">
        <v>360</v>
      </c>
      <c r="H26" s="29">
        <v>20</v>
      </c>
      <c r="I26" s="29">
        <v>0.87</v>
      </c>
      <c r="J26" s="29">
        <v>1.05</v>
      </c>
      <c r="L26" s="29">
        <f t="shared" ref="L26" si="12">SUM(I26:K26)</f>
        <v>1.92</v>
      </c>
      <c r="M26" s="29">
        <v>2.66</v>
      </c>
      <c r="N26" s="29" t="s">
        <v>53</v>
      </c>
      <c r="P26" s="29">
        <f>((((TAN(Q2*PI()/180)*(wide/2)))^2+(wide/2)^2)^0.5)*high*2</f>
        <v>2530.0437566824344</v>
      </c>
      <c r="Q26" s="75">
        <f>P26*M26</f>
        <v>6729.9163927752761</v>
      </c>
      <c r="R26" s="75">
        <f>P26*L26</f>
        <v>4857.6840128302738</v>
      </c>
      <c r="AI26" s="32"/>
      <c r="AJ26" s="32"/>
      <c r="AK26" s="32">
        <v>1.2</v>
      </c>
      <c r="AL26" s="32">
        <v>1</v>
      </c>
      <c r="AM26" s="32">
        <v>15</v>
      </c>
      <c r="AN26" s="33">
        <f t="shared" si="4"/>
        <v>1</v>
      </c>
      <c r="AS26" s="32"/>
      <c r="AT26" s="32"/>
      <c r="AU26" s="32">
        <v>18</v>
      </c>
      <c r="AV26" s="32">
        <v>1.08</v>
      </c>
      <c r="AW26" s="32"/>
      <c r="AX26" s="33"/>
      <c r="BF26" s="42"/>
      <c r="BH26" s="42"/>
      <c r="BM26" s="60"/>
      <c r="BQ26" s="61"/>
      <c r="BR26" s="62"/>
      <c r="BS26" s="32"/>
      <c r="BT26" s="34"/>
      <c r="BU26" s="35"/>
    </row>
    <row r="27" spans="1:73" s="29" customFormat="1" x14ac:dyDescent="0.25">
      <c r="A27" s="21"/>
      <c r="C27" s="29" t="s">
        <v>353</v>
      </c>
      <c r="D27" s="29" t="s">
        <v>36</v>
      </c>
      <c r="E27" s="29" t="s">
        <v>361</v>
      </c>
      <c r="F27" s="29" t="s">
        <v>362</v>
      </c>
      <c r="G27" s="77" t="s">
        <v>363</v>
      </c>
      <c r="H27" s="29">
        <v>2200</v>
      </c>
      <c r="I27" s="29">
        <v>7.0000000000000007E-2</v>
      </c>
      <c r="J27" s="29">
        <v>0.27</v>
      </c>
      <c r="L27" s="29">
        <f t="shared" si="10"/>
        <v>0.34</v>
      </c>
      <c r="M27" s="29">
        <v>0.52</v>
      </c>
      <c r="N27" s="29" t="s">
        <v>53</v>
      </c>
      <c r="P27" s="29">
        <f>((((TAN(Q3*PI()/180)*(wide/2)))^2+(wide/2)^2)^0.5)*high*2</f>
        <v>2530.0437566824344</v>
      </c>
      <c r="Q27" s="75">
        <f>P27*M27</f>
        <v>1315.6227534748659</v>
      </c>
      <c r="R27" s="75">
        <f>P27*L27</f>
        <v>860.21487727202771</v>
      </c>
      <c r="AG27" s="52"/>
      <c r="AH27" s="52"/>
      <c r="AI27" s="53"/>
      <c r="AJ27" s="53"/>
      <c r="AK27" s="53">
        <v>1.25</v>
      </c>
      <c r="AL27" s="56">
        <f t="shared" ref="AL27:AL35" si="13">AL26-(AL$50-AL$60)/10</f>
        <v>0.99849999999999994</v>
      </c>
      <c r="AM27" s="53">
        <v>16</v>
      </c>
      <c r="AN27" s="56">
        <f t="shared" si="4"/>
        <v>0.99849999999999994</v>
      </c>
      <c r="AO27" s="52"/>
      <c r="AP27" s="52"/>
      <c r="AQ27" s="52"/>
      <c r="AR27" s="52"/>
      <c r="AS27" s="53"/>
      <c r="AT27" s="53"/>
      <c r="AU27" s="53">
        <v>19</v>
      </c>
      <c r="AV27" s="56">
        <f>AVERAGE(AV26,AV28)</f>
        <v>1.105</v>
      </c>
      <c r="AW27" s="53"/>
      <c r="AX27" s="56"/>
      <c r="AY27" s="52"/>
      <c r="AZ27" s="52"/>
      <c r="BA27" s="52"/>
      <c r="BB27" s="52"/>
      <c r="BC27" s="52"/>
      <c r="BD27" s="52"/>
      <c r="BE27" s="52"/>
      <c r="BF27" s="55"/>
      <c r="BG27" s="52"/>
      <c r="BH27" s="55"/>
      <c r="BI27" s="52"/>
      <c r="BJ27" s="52"/>
      <c r="BK27" s="52"/>
      <c r="BL27" s="52"/>
      <c r="BM27" s="57"/>
      <c r="BN27" s="52"/>
      <c r="BO27" s="52"/>
      <c r="BP27" s="52"/>
      <c r="BQ27" s="58"/>
      <c r="BR27" s="59"/>
      <c r="BS27" s="32"/>
      <c r="BT27" s="34"/>
      <c r="BU27" s="35"/>
    </row>
    <row r="28" spans="1:73" s="3" customFormat="1" x14ac:dyDescent="0.25">
      <c r="A28" s="21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1"/>
      <c r="Z28" s="21"/>
      <c r="AG28" s="52"/>
      <c r="AH28" s="52"/>
      <c r="AI28" s="53"/>
      <c r="AJ28" s="53"/>
      <c r="AK28" s="53">
        <v>1.3</v>
      </c>
      <c r="AL28" s="54">
        <f t="shared" si="13"/>
        <v>0.99699999999999989</v>
      </c>
      <c r="AM28" s="53">
        <v>17</v>
      </c>
      <c r="AN28" s="56">
        <f t="shared" si="4"/>
        <v>0.99699999999999989</v>
      </c>
      <c r="AO28" s="52"/>
      <c r="AP28" s="52"/>
      <c r="AQ28" s="52"/>
      <c r="AR28" s="52"/>
      <c r="AS28" s="53"/>
      <c r="AT28" s="53"/>
      <c r="AU28" s="53">
        <v>20</v>
      </c>
      <c r="AV28" s="56">
        <v>1.1299999999999999</v>
      </c>
      <c r="AW28" s="53"/>
      <c r="AX28" s="56"/>
      <c r="AY28" s="52"/>
      <c r="AZ28" s="52"/>
      <c r="BA28" s="52"/>
      <c r="BB28" s="52"/>
      <c r="BC28" s="52"/>
      <c r="BD28" s="52"/>
      <c r="BE28" s="52"/>
      <c r="BF28" s="55"/>
      <c r="BG28" s="52"/>
      <c r="BH28" s="55"/>
      <c r="BI28" s="52"/>
      <c r="BJ28" s="52"/>
      <c r="BK28" s="52"/>
      <c r="BL28" s="52"/>
      <c r="BM28" s="57"/>
      <c r="BN28" s="52"/>
      <c r="BO28" s="52"/>
      <c r="BP28" s="52"/>
      <c r="BQ28" s="58"/>
      <c r="BR28" s="59"/>
      <c r="BS28" s="36"/>
      <c r="BT28" s="37"/>
      <c r="BU28" s="38"/>
    </row>
    <row r="29" spans="1:73" s="3" customFormat="1" x14ac:dyDescent="0.25">
      <c r="A29" s="21"/>
      <c r="B29" s="21" t="s">
        <v>291</v>
      </c>
      <c r="C29" s="29"/>
      <c r="D29" s="29"/>
      <c r="E29" s="29"/>
      <c r="F29" s="29"/>
      <c r="G29" s="29"/>
      <c r="H29" s="30"/>
      <c r="I29" s="29"/>
      <c r="J29" s="29"/>
      <c r="K29" s="29"/>
      <c r="L29" s="29"/>
      <c r="M29" s="29"/>
      <c r="N29" s="29"/>
      <c r="O29" s="29"/>
      <c r="P29" s="29"/>
      <c r="Q29" s="31"/>
      <c r="R29" s="31"/>
      <c r="S29" s="21"/>
      <c r="T29" s="21"/>
      <c r="U29" s="21"/>
      <c r="V29" s="21"/>
      <c r="Y29" s="21"/>
      <c r="Z29" s="21"/>
      <c r="AG29" s="52"/>
      <c r="AH29" s="52"/>
      <c r="AI29" s="53"/>
      <c r="AJ29" s="53"/>
      <c r="AK29" s="53">
        <v>1.35</v>
      </c>
      <c r="AL29" s="54">
        <f t="shared" si="13"/>
        <v>0.99549999999999983</v>
      </c>
      <c r="AM29" s="53">
        <v>18</v>
      </c>
      <c r="AN29" s="56">
        <f t="shared" si="4"/>
        <v>0.99549999999999983</v>
      </c>
      <c r="AO29" s="52"/>
      <c r="AP29" s="52"/>
      <c r="AQ29" s="52"/>
      <c r="AR29" s="52"/>
      <c r="AS29" s="53"/>
      <c r="AT29" s="53"/>
      <c r="AU29" s="53">
        <v>21</v>
      </c>
      <c r="AV29" s="56">
        <f>AVERAGE(AV28,AV30)</f>
        <v>1.1549999999999998</v>
      </c>
      <c r="AW29" s="53"/>
      <c r="AX29" s="56"/>
      <c r="AY29" s="52"/>
      <c r="AZ29" s="52"/>
      <c r="BA29" s="52"/>
      <c r="BB29" s="52"/>
      <c r="BC29" s="52"/>
      <c r="BD29" s="52"/>
      <c r="BE29" s="52"/>
      <c r="BF29" s="55"/>
      <c r="BG29" s="52"/>
      <c r="BH29" s="55"/>
      <c r="BI29" s="52"/>
      <c r="BJ29" s="52"/>
      <c r="BK29" s="52"/>
      <c r="BL29" s="52"/>
      <c r="BM29" s="57"/>
      <c r="BN29" s="52"/>
      <c r="BO29" s="52"/>
      <c r="BP29" s="52"/>
      <c r="BQ29" s="58"/>
      <c r="BR29" s="59"/>
      <c r="BS29" s="36"/>
      <c r="BT29" s="37"/>
      <c r="BU29" s="38"/>
    </row>
    <row r="30" spans="1:73" s="42" customFormat="1" x14ac:dyDescent="0.25">
      <c r="A30" s="21"/>
      <c r="B30" s="21" t="s">
        <v>292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 t="s">
        <v>291</v>
      </c>
      <c r="O30" s="21"/>
      <c r="P30" s="21"/>
      <c r="Q30" s="21"/>
      <c r="R30" s="21"/>
      <c r="S30" s="21"/>
      <c r="T30" s="21"/>
      <c r="U30" s="21"/>
      <c r="V30" s="21"/>
      <c r="W30" s="3"/>
      <c r="X30" s="3"/>
      <c r="Z30" s="43"/>
      <c r="AG30" s="52"/>
      <c r="AH30" s="52"/>
      <c r="AI30" s="53"/>
      <c r="AJ30" s="53"/>
      <c r="AK30" s="53">
        <v>1.4</v>
      </c>
      <c r="AL30" s="54">
        <f t="shared" si="13"/>
        <v>0.99399999999999977</v>
      </c>
      <c r="AM30" s="53">
        <v>19</v>
      </c>
      <c r="AN30" s="56">
        <f t="shared" si="4"/>
        <v>0.99399999999999977</v>
      </c>
      <c r="AO30" s="52"/>
      <c r="AP30" s="52"/>
      <c r="AQ30" s="52"/>
      <c r="AR30" s="52"/>
      <c r="AS30" s="53"/>
      <c r="AT30" s="53"/>
      <c r="AU30" s="53">
        <v>22</v>
      </c>
      <c r="AV30" s="54">
        <v>1.18</v>
      </c>
      <c r="AW30" s="53"/>
      <c r="AX30" s="56"/>
      <c r="AY30" s="52"/>
      <c r="AZ30" s="52"/>
      <c r="BA30" s="52"/>
      <c r="BB30" s="52"/>
      <c r="BC30" s="52"/>
      <c r="BD30" s="52"/>
      <c r="BE30" s="52"/>
      <c r="BF30" s="55"/>
      <c r="BG30" s="52"/>
      <c r="BH30" s="55"/>
      <c r="BI30" s="52"/>
      <c r="BJ30" s="52"/>
      <c r="BK30" s="52"/>
      <c r="BL30" s="52"/>
      <c r="BM30" s="57"/>
      <c r="BN30" s="52"/>
      <c r="BO30" s="52"/>
      <c r="BP30" s="52"/>
      <c r="BQ30" s="58"/>
      <c r="BR30" s="59"/>
      <c r="BS30" s="40"/>
      <c r="BT30" s="44"/>
      <c r="BU30" s="45"/>
    </row>
    <row r="31" spans="1:73" s="42" customFormat="1" x14ac:dyDescent="0.25">
      <c r="A31" s="39"/>
      <c r="B31" s="40">
        <f>IF((TAN(Q2*PI()/180)*((wide/2)-(16*1/12)))&gt;0,(TAN(Q2*PI()/180)*((wide/2)-(16*1/12))),0)</f>
        <v>6.2276711385121617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 t="s">
        <v>293</v>
      </c>
      <c r="O31" s="21"/>
      <c r="P31" s="21"/>
      <c r="Q31" s="21"/>
      <c r="R31" s="21"/>
      <c r="S31" s="40"/>
      <c r="T31" s="40"/>
      <c r="U31" s="40"/>
      <c r="V31" s="40"/>
      <c r="Z31" s="43"/>
      <c r="AG31" s="52"/>
      <c r="AH31" s="52"/>
      <c r="AI31" s="53"/>
      <c r="AJ31" s="53"/>
      <c r="AK31" s="53">
        <v>1.45</v>
      </c>
      <c r="AL31" s="54">
        <f t="shared" si="13"/>
        <v>0.99249999999999972</v>
      </c>
      <c r="AM31" s="53">
        <v>20</v>
      </c>
      <c r="AN31" s="56">
        <f t="shared" si="4"/>
        <v>0.99249999999999972</v>
      </c>
      <c r="AO31" s="52"/>
      <c r="AP31" s="52"/>
      <c r="AQ31" s="52"/>
      <c r="AR31" s="52"/>
      <c r="AS31" s="53"/>
      <c r="AT31" s="53"/>
      <c r="AU31" s="53">
        <v>23</v>
      </c>
      <c r="AV31" s="56">
        <f>AVERAGE(AV30,AV32)</f>
        <v>1.2050000000000001</v>
      </c>
      <c r="AW31" s="53"/>
      <c r="AX31" s="56"/>
      <c r="AY31" s="52"/>
      <c r="AZ31" s="52"/>
      <c r="BA31" s="52"/>
      <c r="BB31" s="52"/>
      <c r="BC31" s="52"/>
      <c r="BD31" s="52"/>
      <c r="BE31" s="52"/>
      <c r="BF31" s="55"/>
      <c r="BG31" s="52"/>
      <c r="BH31" s="55"/>
      <c r="BI31" s="52"/>
      <c r="BJ31" s="52"/>
      <c r="BK31" s="52"/>
      <c r="BL31" s="52"/>
      <c r="BM31" s="57"/>
      <c r="BN31" s="52"/>
      <c r="BO31" s="52"/>
      <c r="BP31" s="52"/>
      <c r="BQ31" s="58"/>
      <c r="BR31" s="59"/>
      <c r="BS31" s="40"/>
      <c r="BT31" s="44"/>
      <c r="BU31" s="45"/>
    </row>
    <row r="32" spans="1:73" s="40" customFormat="1" x14ac:dyDescent="0.25">
      <c r="A32" s="39"/>
      <c r="B32" s="40">
        <f>IF((TAN(Q2*PI()/180)*((wide/2)-(16*2/12)))&gt;0,(TAN(Q2*PI()/180)*((wide/2)-(16*2/12))),0)</f>
        <v>5.7828374857612923</v>
      </c>
      <c r="C32" s="41" t="s">
        <v>54</v>
      </c>
      <c r="N32" s="40">
        <f>IF((TAN(Q3*PI()/180)*(wide/2-(16*1/12)))&gt;0,(TAN(Q3*PI()/180)*(wide/2-(16*1/12))),0)</f>
        <v>6.2276711385121617</v>
      </c>
      <c r="O32" s="41" t="s">
        <v>55</v>
      </c>
      <c r="W32" s="42"/>
      <c r="X32" s="42"/>
      <c r="Z32" s="41"/>
      <c r="AG32" s="52"/>
      <c r="AH32" s="52"/>
      <c r="AI32" s="53"/>
      <c r="AJ32" s="53"/>
      <c r="AK32" s="53">
        <v>1.5</v>
      </c>
      <c r="AL32" s="54">
        <f t="shared" si="13"/>
        <v>0.99099999999999966</v>
      </c>
      <c r="AM32" s="53">
        <v>21</v>
      </c>
      <c r="AN32" s="56">
        <f t="shared" si="4"/>
        <v>0.99099999999999966</v>
      </c>
      <c r="AO32" s="52"/>
      <c r="AP32" s="52"/>
      <c r="AQ32" s="52"/>
      <c r="AR32" s="52"/>
      <c r="AS32" s="53"/>
      <c r="AT32" s="53"/>
      <c r="AU32" s="53">
        <v>24</v>
      </c>
      <c r="AV32" s="54">
        <v>1.23</v>
      </c>
      <c r="AW32" s="53"/>
      <c r="AX32" s="56"/>
      <c r="AY32" s="52"/>
      <c r="AZ32" s="52"/>
      <c r="BA32" s="52"/>
      <c r="BB32" s="52"/>
      <c r="BC32" s="52"/>
      <c r="BD32" s="52"/>
      <c r="BE32" s="52"/>
      <c r="BF32" s="55"/>
      <c r="BG32" s="52"/>
      <c r="BH32" s="55"/>
      <c r="BI32" s="52"/>
      <c r="BJ32" s="52"/>
      <c r="BK32" s="52"/>
      <c r="BL32" s="52"/>
      <c r="BM32" s="57"/>
      <c r="BN32" s="52"/>
      <c r="BO32" s="52"/>
      <c r="BP32" s="52"/>
      <c r="BQ32" s="58"/>
      <c r="BR32" s="59"/>
    </row>
    <row r="33" spans="2:70" s="40" customFormat="1" x14ac:dyDescent="0.25">
      <c r="B33" s="40">
        <f>IF((TAN(Q2*PI()/180)*((wide/2)-(16*3/12)))&gt;0,(TAN(Q2*PI()/180)*((wide/2)-(16*3/12))),0)</f>
        <v>5.3380038330104238</v>
      </c>
      <c r="C33" s="41" t="s">
        <v>56</v>
      </c>
      <c r="N33" s="40">
        <f>IF((TAN(Q3*PI()/180)*(wide/2-(16*2/12)))&gt;0,(TAN(Q3*PI()/180)*(wide/2-(16*2/12))),0)</f>
        <v>5.7828374857612923</v>
      </c>
      <c r="O33" s="41" t="s">
        <v>57</v>
      </c>
      <c r="Z33" s="41"/>
      <c r="AG33" s="52"/>
      <c r="AH33" s="52"/>
      <c r="AI33" s="53"/>
      <c r="AJ33" s="53"/>
      <c r="AK33" s="53">
        <v>1.55</v>
      </c>
      <c r="AL33" s="54">
        <f>AL32-(AL$50-AL$60)/10</f>
        <v>0.9894999999999996</v>
      </c>
      <c r="AM33" s="53">
        <v>22</v>
      </c>
      <c r="AN33" s="56">
        <f t="shared" si="4"/>
        <v>0.9894999999999996</v>
      </c>
      <c r="AO33" s="52"/>
      <c r="AP33" s="52"/>
      <c r="AQ33" s="52"/>
      <c r="AR33" s="52"/>
      <c r="AS33" s="53"/>
      <c r="AT33" s="53"/>
      <c r="AU33" s="53">
        <v>25</v>
      </c>
      <c r="AV33" s="54">
        <f>(AV$38-AV$32)/6+AV32</f>
        <v>1.2549999999999999</v>
      </c>
      <c r="AW33" s="53"/>
      <c r="AX33" s="56"/>
      <c r="AY33" s="52"/>
      <c r="AZ33" s="52"/>
      <c r="BA33" s="52"/>
      <c r="BB33" s="52"/>
      <c r="BC33" s="52"/>
      <c r="BD33" s="52"/>
      <c r="BE33" s="52"/>
      <c r="BF33" s="55"/>
      <c r="BG33" s="52"/>
      <c r="BH33" s="55"/>
      <c r="BI33" s="52"/>
      <c r="BJ33" s="52"/>
      <c r="BK33" s="52"/>
      <c r="BL33" s="52"/>
      <c r="BM33" s="57"/>
      <c r="BN33" s="52"/>
      <c r="BO33" s="52"/>
      <c r="BP33" s="52"/>
      <c r="BQ33" s="58"/>
      <c r="BR33" s="59"/>
    </row>
    <row r="34" spans="2:70" s="40" customFormat="1" x14ac:dyDescent="0.25">
      <c r="B34" s="40">
        <f>IF((TAN(Q2*PI()/180)*((wide/2)-(16*4/12)))&gt;0,(TAN(Q2*PI()/180)*((wide/2)-(16*4/12))),0)</f>
        <v>4.8931701802595553</v>
      </c>
      <c r="C34" s="41" t="s">
        <v>58</v>
      </c>
      <c r="N34" s="40">
        <f>IF((TAN(Q3*PI()/180)*(wide/2-(16*3/12)))&gt;0,(TAN(Q3*PI()/180)*(wide/2-(16*3/12))),0)</f>
        <v>5.3380038330104238</v>
      </c>
      <c r="O34" s="41" t="s">
        <v>59</v>
      </c>
      <c r="Z34" s="41"/>
      <c r="AG34" s="52"/>
      <c r="AH34" s="52"/>
      <c r="AI34" s="53"/>
      <c r="AJ34" s="53"/>
      <c r="AK34" s="53">
        <v>1.6</v>
      </c>
      <c r="AL34" s="54">
        <f t="shared" si="13"/>
        <v>0.98799999999999955</v>
      </c>
      <c r="AM34" s="53">
        <v>23</v>
      </c>
      <c r="AN34" s="56">
        <f t="shared" si="4"/>
        <v>0.98799999999999955</v>
      </c>
      <c r="AO34" s="52"/>
      <c r="AP34" s="52"/>
      <c r="AQ34" s="52"/>
      <c r="AR34" s="52"/>
      <c r="AS34" s="53"/>
      <c r="AT34" s="53"/>
      <c r="AU34" s="53">
        <v>26</v>
      </c>
      <c r="AV34" s="54">
        <f>(AV$38-AV$32)/6+AV33</f>
        <v>1.2799999999999998</v>
      </c>
      <c r="AW34" s="53"/>
      <c r="AX34" s="56"/>
      <c r="AY34" s="52"/>
      <c r="AZ34" s="52"/>
      <c r="BA34" s="52"/>
      <c r="BB34" s="52"/>
      <c r="BC34" s="52"/>
      <c r="BD34" s="52"/>
      <c r="BE34" s="52"/>
      <c r="BF34" s="55"/>
      <c r="BG34" s="52"/>
      <c r="BH34" s="55"/>
      <c r="BI34" s="52"/>
      <c r="BJ34" s="52"/>
      <c r="BK34" s="52"/>
      <c r="BL34" s="52"/>
      <c r="BM34" s="57"/>
      <c r="BN34" s="52"/>
      <c r="BO34" s="52"/>
      <c r="BP34" s="52"/>
      <c r="BQ34" s="58"/>
      <c r="BR34" s="59"/>
    </row>
    <row r="35" spans="2:70" s="40" customFormat="1" x14ac:dyDescent="0.25">
      <c r="B35" s="40">
        <f>IF((TAN(Q2*PI()/180)*((wide/2)-(16*5/12)))&gt;0,(TAN(Q2*PI()/180)*((wide/2)-(16*5/12))),0)</f>
        <v>4.4483365275086859</v>
      </c>
      <c r="C35" s="41" t="s">
        <v>60</v>
      </c>
      <c r="N35" s="40">
        <f>IF((TAN(Q3*PI()/180)*(wide/2-(16*4/12)))&gt;0,(TAN(Q3*PI()/180)*(wide/2-(16*4/12))),0)</f>
        <v>4.8931701802595553</v>
      </c>
      <c r="O35" s="41" t="s">
        <v>61</v>
      </c>
      <c r="Z35" s="41"/>
      <c r="AG35" s="52"/>
      <c r="AH35" s="52"/>
      <c r="AI35" s="53"/>
      <c r="AJ35" s="53"/>
      <c r="AK35" s="53">
        <v>1.65</v>
      </c>
      <c r="AL35" s="54">
        <f t="shared" si="13"/>
        <v>0.98649999999999949</v>
      </c>
      <c r="AM35" s="53">
        <v>24</v>
      </c>
      <c r="AN35" s="56">
        <f t="shared" si="4"/>
        <v>0.98649999999999949</v>
      </c>
      <c r="AO35" s="52"/>
      <c r="AP35" s="52"/>
      <c r="AQ35" s="52"/>
      <c r="AR35" s="52"/>
      <c r="AS35" s="53"/>
      <c r="AT35" s="53"/>
      <c r="AU35" s="53">
        <v>27</v>
      </c>
      <c r="AV35" s="54">
        <f>(AV$38-AV$32)/6+AV34</f>
        <v>1.3049999999999997</v>
      </c>
      <c r="AW35" s="53"/>
      <c r="AX35" s="56"/>
      <c r="AY35" s="52"/>
      <c r="AZ35" s="52"/>
      <c r="BA35" s="52"/>
      <c r="BB35" s="52"/>
      <c r="BC35" s="52"/>
      <c r="BD35" s="52"/>
      <c r="BE35" s="52"/>
      <c r="BF35" s="55"/>
      <c r="BG35" s="52"/>
      <c r="BH35" s="55"/>
      <c r="BI35" s="52"/>
      <c r="BJ35" s="52"/>
      <c r="BK35" s="52"/>
      <c r="BL35" s="52"/>
      <c r="BM35" s="57"/>
      <c r="BN35" s="52"/>
      <c r="BO35" s="52"/>
      <c r="BP35" s="52"/>
      <c r="BQ35" s="58"/>
      <c r="BR35" s="59"/>
    </row>
    <row r="36" spans="2:70" s="40" customFormat="1" x14ac:dyDescent="0.25">
      <c r="B36" s="40">
        <f>IF((TAN(Q2*PI()/180)*((wide/2)-(16*6/12)))&gt;0,(TAN(Q2*PI()/180)*((wide/2)-(16*6/12))),0)</f>
        <v>4.0035028747578174</v>
      </c>
      <c r="C36" s="41" t="s">
        <v>62</v>
      </c>
      <c r="N36" s="40">
        <f>IF((TAN(Q3*PI()/180)*(wide/2-(16*5/12)))&gt;0,(TAN(Q3*PI()/180)*(wide/2-(16*5/12))),0)</f>
        <v>4.4483365275086859</v>
      </c>
      <c r="O36" s="41" t="s">
        <v>63</v>
      </c>
      <c r="Z36" s="41"/>
      <c r="AG36" s="52"/>
      <c r="AH36" s="52"/>
      <c r="AI36" s="53"/>
      <c r="AJ36" s="53"/>
      <c r="AK36" s="53">
        <v>1.7</v>
      </c>
      <c r="AL36" s="54">
        <f t="shared" ref="AL36:AL41" si="14">AL35-(AL$32-AL$42)/10</f>
        <v>0.98139999999999949</v>
      </c>
      <c r="AM36" s="53">
        <v>25</v>
      </c>
      <c r="AN36" s="56">
        <f t="shared" si="4"/>
        <v>0.98139999999999949</v>
      </c>
      <c r="AO36" s="52"/>
      <c r="AP36" s="52"/>
      <c r="AQ36" s="52"/>
      <c r="AR36" s="52"/>
      <c r="AS36" s="53"/>
      <c r="AT36" s="53"/>
      <c r="AU36" s="53">
        <v>28</v>
      </c>
      <c r="AV36" s="54">
        <f>(AV$38-AV$32)/6+AV35</f>
        <v>1.3299999999999996</v>
      </c>
      <c r="AW36" s="53"/>
      <c r="AX36" s="56"/>
      <c r="AY36" s="52"/>
      <c r="AZ36" s="52"/>
      <c r="BA36" s="52"/>
      <c r="BB36" s="52"/>
      <c r="BC36" s="52"/>
      <c r="BD36" s="52"/>
      <c r="BE36" s="52"/>
      <c r="BF36" s="55"/>
      <c r="BG36" s="52"/>
      <c r="BH36" s="55"/>
      <c r="BI36" s="52"/>
      <c r="BJ36" s="52"/>
      <c r="BK36" s="52"/>
      <c r="BL36" s="52"/>
      <c r="BM36" s="57"/>
      <c r="BN36" s="52"/>
      <c r="BO36" s="52"/>
      <c r="BP36" s="52"/>
      <c r="BQ36" s="58"/>
      <c r="BR36" s="59"/>
    </row>
    <row r="37" spans="2:70" s="40" customFormat="1" x14ac:dyDescent="0.25">
      <c r="B37" s="40">
        <f>IF((TAN(Q2*PI()/180)*((wide/2)-(16*7/12)))&gt;0,(TAN(Q2*PI()/180)*((wide/2)-(16*7/12))),0)</f>
        <v>3.5586692220069489</v>
      </c>
      <c r="C37" s="41" t="s">
        <v>64</v>
      </c>
      <c r="N37" s="40">
        <f>IF((TAN(Q3*PI()/180)*(wide/2-(16*6/12)))&gt;0,(TAN(Q3*PI()/180)*(wide/2-(16*6/12))),0)</f>
        <v>4.0035028747578174</v>
      </c>
      <c r="O37" s="41" t="s">
        <v>65</v>
      </c>
      <c r="Z37" s="41"/>
      <c r="AG37" s="52"/>
      <c r="AH37" s="52"/>
      <c r="AI37" s="53"/>
      <c r="AJ37" s="53"/>
      <c r="AK37" s="53">
        <v>1.75</v>
      </c>
      <c r="AL37" s="54">
        <f t="shared" si="14"/>
        <v>0.9762999999999995</v>
      </c>
      <c r="AM37" s="53">
        <v>26</v>
      </c>
      <c r="AN37" s="56">
        <f t="shared" si="4"/>
        <v>0.9762999999999995</v>
      </c>
      <c r="AO37" s="52"/>
      <c r="AP37" s="52"/>
      <c r="AQ37" s="52"/>
      <c r="AR37" s="52"/>
      <c r="AS37" s="53"/>
      <c r="AT37" s="53"/>
      <c r="AU37" s="53">
        <v>29</v>
      </c>
      <c r="AV37" s="54">
        <f>(AV$38-AV$32)/6+AV36</f>
        <v>1.3549999999999995</v>
      </c>
      <c r="AW37" s="53"/>
      <c r="AX37" s="56"/>
      <c r="AY37" s="52"/>
      <c r="AZ37" s="52"/>
      <c r="BA37" s="52"/>
      <c r="BB37" s="52"/>
      <c r="BC37" s="52"/>
      <c r="BD37" s="52"/>
      <c r="BE37" s="52"/>
      <c r="BF37" s="55"/>
      <c r="BG37" s="52"/>
      <c r="BH37" s="55"/>
      <c r="BI37" s="52"/>
      <c r="BJ37" s="52"/>
      <c r="BK37" s="52"/>
      <c r="BL37" s="52"/>
      <c r="BM37" s="57"/>
      <c r="BN37" s="52"/>
      <c r="BO37" s="52"/>
      <c r="BP37" s="52"/>
      <c r="BQ37" s="58"/>
      <c r="BR37" s="59"/>
    </row>
    <row r="38" spans="2:70" s="40" customFormat="1" x14ac:dyDescent="0.25">
      <c r="B38" s="40">
        <f>IF((TAN(Q2*PI()/180)*((wide/2)-(16*8/12)))&gt;0,(TAN(Q2*PI()/180)*((wide/2)-(16*8/12))),0)</f>
        <v>3.1138355692560808</v>
      </c>
      <c r="C38" s="41" t="s">
        <v>66</v>
      </c>
      <c r="N38" s="40">
        <f>IF((TAN(Q3*PI()/180)*(wide/2-(16*7/12)))&gt;0,(TAN(Q3*PI()/180)*(wide/2-(16*7/12))),0)</f>
        <v>3.5586692220069489</v>
      </c>
      <c r="O38" s="41" t="s">
        <v>67</v>
      </c>
      <c r="Z38" s="41"/>
      <c r="AG38" s="29"/>
      <c r="AH38" s="29"/>
      <c r="AI38" s="32"/>
      <c r="AJ38" s="32"/>
      <c r="AK38" s="32">
        <v>1.8</v>
      </c>
      <c r="AL38" s="63">
        <f t="shared" si="14"/>
        <v>0.97119999999999951</v>
      </c>
      <c r="AM38" s="32">
        <v>27</v>
      </c>
      <c r="AN38" s="33">
        <f t="shared" si="4"/>
        <v>0.97119999999999951</v>
      </c>
      <c r="AO38" s="29"/>
      <c r="AP38" s="29"/>
      <c r="AQ38" s="29"/>
      <c r="AR38" s="29"/>
      <c r="AS38" s="32"/>
      <c r="AT38" s="32"/>
      <c r="AU38">
        <v>30</v>
      </c>
      <c r="AV38" s="63">
        <v>1.38</v>
      </c>
      <c r="AW38" s="32"/>
      <c r="AX38" s="33"/>
      <c r="AY38" s="29"/>
      <c r="AZ38" s="29"/>
      <c r="BA38" s="29"/>
      <c r="BB38" s="29"/>
      <c r="BC38" s="29"/>
      <c r="BD38" s="29"/>
      <c r="BE38" s="29"/>
      <c r="BF38" s="42"/>
      <c r="BG38" s="29"/>
      <c r="BH38" s="42"/>
      <c r="BI38" s="29"/>
      <c r="BJ38" s="29"/>
      <c r="BK38" s="29"/>
      <c r="BL38" s="29"/>
      <c r="BM38" s="60"/>
      <c r="BN38" s="29"/>
      <c r="BO38" s="29"/>
      <c r="BP38" s="29"/>
      <c r="BQ38" s="61"/>
      <c r="BR38" s="62"/>
    </row>
    <row r="39" spans="2:70" s="40" customFormat="1" x14ac:dyDescent="0.25">
      <c r="B39" s="40">
        <f>IF((TAN(Q2*PI()/180)*((wide/2)-(16*9/12)))&gt;0,(TAN(Q2*PI()/180)*((wide/2)-(16*9/12))),0)</f>
        <v>2.6690019165052119</v>
      </c>
      <c r="C39" s="41" t="s">
        <v>68</v>
      </c>
      <c r="N39" s="40">
        <f>IF((TAN(Q3*PI()/180)*(wide/2-(16*8/12)))&gt;0,(TAN(Q3*PI()/180)*(wide/2-(16*8/12))),0)</f>
        <v>3.1138355692560808</v>
      </c>
      <c r="O39" s="41" t="s">
        <v>69</v>
      </c>
      <c r="Z39" s="41"/>
      <c r="AG39" s="52"/>
      <c r="AH39" s="52"/>
      <c r="AI39" s="53"/>
      <c r="AJ39" s="53"/>
      <c r="AK39" s="53">
        <v>1.85</v>
      </c>
      <c r="AL39" s="54">
        <f t="shared" si="14"/>
        <v>0.96609999999999951</v>
      </c>
      <c r="AM39" s="53">
        <v>28</v>
      </c>
      <c r="AN39" s="56">
        <f t="shared" si="4"/>
        <v>0.96609999999999951</v>
      </c>
      <c r="AO39" s="52"/>
      <c r="AP39" s="52"/>
      <c r="AQ39" s="52"/>
      <c r="AR39" s="52"/>
      <c r="AS39" s="53"/>
      <c r="AT39" s="53"/>
      <c r="AU39" s="53">
        <v>31</v>
      </c>
      <c r="AV39" s="54">
        <f>(AV$43-AV$38)/5+AV38</f>
        <v>1.4059999999999999</v>
      </c>
      <c r="AW39" s="53"/>
      <c r="AX39" s="56"/>
      <c r="AY39" s="52"/>
      <c r="AZ39" s="52"/>
      <c r="BA39" s="52"/>
      <c r="BB39" s="52"/>
      <c r="BC39" s="52"/>
      <c r="BD39" s="52"/>
      <c r="BE39" s="52"/>
      <c r="BF39" s="55"/>
      <c r="BG39" s="52"/>
      <c r="BH39" s="55"/>
      <c r="BI39" s="52"/>
      <c r="BJ39" s="52"/>
      <c r="BK39" s="52"/>
      <c r="BL39" s="52"/>
      <c r="BM39" s="57"/>
      <c r="BN39" s="57"/>
      <c r="BO39" s="57"/>
      <c r="BP39" s="57"/>
      <c r="BQ39" s="58"/>
      <c r="BR39" s="59"/>
    </row>
    <row r="40" spans="2:70" s="40" customFormat="1" x14ac:dyDescent="0.25">
      <c r="B40" s="40">
        <f>IF((TAN(Q2*PI()/180)*((wide/2)-(16*10/12)))&gt;0,(TAN(Q2*PI()/180)*((wide/2)-(16*10/12))),0)</f>
        <v>2.224168263754343</v>
      </c>
      <c r="C40" s="41" t="s">
        <v>70</v>
      </c>
      <c r="N40" s="40">
        <f>IF((TAN(Q3*PI()/180)*(wide/2-(16*9/12)))&gt;0,(TAN(Q3*PI()/180)*(wide/2-(16*9/12))),0)</f>
        <v>2.6690019165052119</v>
      </c>
      <c r="O40" s="41" t="s">
        <v>71</v>
      </c>
      <c r="Z40" s="41"/>
      <c r="AG40" s="52"/>
      <c r="AH40" s="52"/>
      <c r="AI40" s="53"/>
      <c r="AJ40" s="53"/>
      <c r="AK40" s="53">
        <v>1.9</v>
      </c>
      <c r="AL40" s="54">
        <f t="shared" si="14"/>
        <v>0.96099999999999952</v>
      </c>
      <c r="AM40" s="53">
        <v>29</v>
      </c>
      <c r="AN40" s="56">
        <f t="shared" si="4"/>
        <v>0.96099999999999952</v>
      </c>
      <c r="AO40" s="52"/>
      <c r="AP40" s="52"/>
      <c r="AQ40" s="52"/>
      <c r="AR40" s="52"/>
      <c r="AS40" s="53"/>
      <c r="AT40" s="53"/>
      <c r="AU40" s="53">
        <v>32</v>
      </c>
      <c r="AV40" s="54">
        <f>(AV$43-AV$38)/5+AV39</f>
        <v>1.4319999999999999</v>
      </c>
      <c r="AW40" s="53"/>
      <c r="AX40" s="56"/>
      <c r="AY40" s="52"/>
      <c r="AZ40" s="52"/>
      <c r="BA40" s="52"/>
      <c r="BB40" s="52"/>
      <c r="BC40" s="52"/>
      <c r="BD40" s="52"/>
      <c r="BE40" s="52"/>
      <c r="BF40" s="55"/>
      <c r="BG40" s="52"/>
      <c r="BH40" s="55"/>
      <c r="BI40" s="52"/>
      <c r="BJ40" s="52"/>
      <c r="BK40" s="52"/>
      <c r="BL40" s="52"/>
      <c r="BM40" s="57"/>
      <c r="BN40" s="57"/>
      <c r="BO40" s="57"/>
      <c r="BP40" s="57"/>
      <c r="BQ40" s="58"/>
      <c r="BR40" s="59"/>
    </row>
    <row r="41" spans="2:70" s="40" customFormat="1" x14ac:dyDescent="0.25">
      <c r="B41" s="40">
        <f>IF((TAN(Q2*PI()/180)*((wide/2)-(16*11/12)))&gt;0,(TAN(Q2*PI()/180)*((wide/2)-(16*11/12))),0)</f>
        <v>1.7793346110034749</v>
      </c>
      <c r="C41" s="41" t="s">
        <v>72</v>
      </c>
      <c r="N41" s="40">
        <f>IF((TAN(Q3*PI()/180)*(wide/2-(16*10/12)))&gt;0,(TAN(Q3*PI()/180)*(wide/2-(16*10/12))),0)</f>
        <v>2.224168263754343</v>
      </c>
      <c r="O41" s="41" t="s">
        <v>73</v>
      </c>
      <c r="Z41" s="41"/>
      <c r="AG41" s="52"/>
      <c r="AH41" s="52"/>
      <c r="AI41" s="53"/>
      <c r="AJ41" s="53"/>
      <c r="AK41" s="53">
        <v>1.95</v>
      </c>
      <c r="AL41" s="54">
        <f t="shared" si="14"/>
        <v>0.95589999999999953</v>
      </c>
      <c r="AM41" s="53">
        <v>30</v>
      </c>
      <c r="AN41" s="56">
        <f t="shared" si="4"/>
        <v>0.95589999999999953</v>
      </c>
      <c r="AO41" s="52"/>
      <c r="AP41" s="52"/>
      <c r="AQ41" s="52"/>
      <c r="AR41" s="52"/>
      <c r="AS41" s="53"/>
      <c r="AT41" s="53"/>
      <c r="AU41" s="53">
        <v>33</v>
      </c>
      <c r="AV41" s="54">
        <f>(AV$43-AV$38)/5+AV40</f>
        <v>1.458</v>
      </c>
      <c r="AW41" s="53"/>
      <c r="AX41" s="56"/>
      <c r="AY41" s="52"/>
      <c r="AZ41" s="52"/>
      <c r="BA41" s="52"/>
      <c r="BB41" s="52"/>
      <c r="BC41" s="52"/>
      <c r="BD41" s="52"/>
      <c r="BE41" s="52"/>
      <c r="BF41" s="55"/>
      <c r="BG41" s="52"/>
      <c r="BH41" s="55"/>
      <c r="BI41" s="52"/>
      <c r="BJ41" s="52"/>
      <c r="BK41" s="52"/>
      <c r="BL41" s="52"/>
      <c r="BM41" s="57"/>
      <c r="BN41" s="52"/>
      <c r="BO41" s="52"/>
      <c r="BP41" s="52"/>
      <c r="BQ41" s="58"/>
      <c r="BR41" s="59"/>
    </row>
    <row r="42" spans="2:70" s="40" customFormat="1" x14ac:dyDescent="0.25">
      <c r="B42" s="40">
        <f>IF((TAN(Q2*PI()/180)*((wide/2)-(16*12/12)))&gt;0,(TAN(Q2*PI()/180)*((wide/2)-(16*12/12))),0)</f>
        <v>1.334500958252606</v>
      </c>
      <c r="C42" s="41" t="s">
        <v>74</v>
      </c>
      <c r="N42" s="40">
        <f>IF((TAN(Q3*PI()/180)*(wide/2-(16*11/12)))&gt;0,(TAN(Q3*PI()/180)*(wide/2-(16*11/12))),0)</f>
        <v>1.7793346110034749</v>
      </c>
      <c r="O42" s="41" t="s">
        <v>75</v>
      </c>
      <c r="Z42" s="41"/>
      <c r="AG42" s="52"/>
      <c r="AH42" s="52"/>
      <c r="AI42" s="53"/>
      <c r="AJ42" s="53"/>
      <c r="AK42" s="53">
        <v>2</v>
      </c>
      <c r="AL42" s="53">
        <v>0.94</v>
      </c>
      <c r="AM42" s="53">
        <v>31</v>
      </c>
      <c r="AN42" s="56">
        <f t="shared" si="4"/>
        <v>0.94</v>
      </c>
      <c r="AO42" s="52"/>
      <c r="AP42" s="52"/>
      <c r="AQ42" s="52"/>
      <c r="AR42" s="52"/>
      <c r="AS42" s="53"/>
      <c r="AT42" s="53"/>
      <c r="AU42" s="53">
        <v>34</v>
      </c>
      <c r="AV42" s="54">
        <f>(AV$43-AV$38)/5+AV41</f>
        <v>1.484</v>
      </c>
      <c r="AW42" s="53"/>
      <c r="AX42" s="56"/>
      <c r="AY42" s="52"/>
      <c r="AZ42" s="52"/>
      <c r="BA42" s="52"/>
      <c r="BB42" s="52"/>
      <c r="BC42" s="52"/>
      <c r="BD42" s="52"/>
      <c r="BE42" s="52"/>
      <c r="BF42" s="55"/>
      <c r="BG42" s="52"/>
      <c r="BH42" s="55"/>
      <c r="BI42" s="52"/>
      <c r="BJ42" s="52"/>
      <c r="BK42" s="52"/>
      <c r="BL42" s="52"/>
      <c r="BM42" s="57"/>
      <c r="BN42" s="57"/>
      <c r="BO42" s="57"/>
      <c r="BP42" s="57"/>
      <c r="BQ42" s="58"/>
      <c r="BR42" s="59"/>
    </row>
    <row r="43" spans="2:70" s="40" customFormat="1" x14ac:dyDescent="0.25">
      <c r="B43" s="40">
        <f>IF((TAN(Q2*PI()/180)*((wide/2)-(16*13/12)))&gt;0,(TAN(Q2*PI()/180)*((wide/2)-(16*13/12))),0)</f>
        <v>0.88966730550173767</v>
      </c>
      <c r="C43" s="41" t="s">
        <v>76</v>
      </c>
      <c r="N43" s="40">
        <f>IF((TAN(Q3*PI()/180)*(wide/2-(16*12/12)))&gt;0,(TAN(Q3*PI()/180)*(wide/2-(16*12/12))),0)</f>
        <v>1.334500958252606</v>
      </c>
      <c r="O43" s="41" t="s">
        <v>77</v>
      </c>
      <c r="Z43" s="41"/>
      <c r="AG43" s="52"/>
      <c r="AH43" s="52"/>
      <c r="AI43" s="53"/>
      <c r="AJ43" s="53"/>
      <c r="AK43" s="53">
        <v>2.0499999999999998</v>
      </c>
      <c r="AL43" s="54">
        <f t="shared" ref="AL43:AL51" si="15">AL42-(AL$42-AL$52)/10</f>
        <v>0.9385</v>
      </c>
      <c r="AM43" s="53">
        <v>32</v>
      </c>
      <c r="AN43" s="56">
        <f t="shared" si="4"/>
        <v>0.9385</v>
      </c>
      <c r="AO43" s="52"/>
      <c r="AP43" s="52"/>
      <c r="AQ43" s="52"/>
      <c r="AR43" s="52"/>
      <c r="AS43" s="53"/>
      <c r="AT43" s="53"/>
      <c r="AU43" s="53">
        <v>35</v>
      </c>
      <c r="AV43" s="54">
        <v>1.51</v>
      </c>
      <c r="AW43" s="53"/>
      <c r="AX43" s="56"/>
      <c r="AY43" s="52"/>
      <c r="AZ43" s="52"/>
      <c r="BA43" s="52"/>
      <c r="BB43" s="52"/>
      <c r="BC43" s="52"/>
      <c r="BD43" s="52"/>
      <c r="BE43" s="52"/>
      <c r="BF43" s="55"/>
      <c r="BG43" s="52"/>
      <c r="BH43" s="55"/>
      <c r="BI43" s="52"/>
      <c r="BJ43" s="52"/>
      <c r="BK43" s="52"/>
      <c r="BL43" s="52"/>
      <c r="BM43" s="57"/>
      <c r="BN43" s="57"/>
      <c r="BO43" s="57"/>
      <c r="BP43" s="57"/>
      <c r="BQ43" s="58"/>
      <c r="BR43" s="59"/>
    </row>
    <row r="44" spans="2:70" s="40" customFormat="1" x14ac:dyDescent="0.25">
      <c r="B44" s="40">
        <f>IF((TAN(Q2*PI()/180)*((wide/2)-(16*14/12)))&gt;0,(TAN(Q2*PI()/180)*((wide/2)-(16*14/12))),0)</f>
        <v>0.44483365275086828</v>
      </c>
      <c r="C44" s="41" t="s">
        <v>78</v>
      </c>
      <c r="N44" s="40">
        <f>IF((TAN(Q3*PI()/180)*(wide/2-(16*13/12)))&gt;0,(TAN(Q3*PI()/180)*(wide/2-(16*13/12))),0)</f>
        <v>0.88966730550173767</v>
      </c>
      <c r="O44" s="41" t="s">
        <v>79</v>
      </c>
      <c r="Z44" s="41"/>
      <c r="AG44" s="52"/>
      <c r="AH44" s="52"/>
      <c r="AI44" s="53"/>
      <c r="AJ44" s="53"/>
      <c r="AK44" s="53">
        <v>2.1</v>
      </c>
      <c r="AL44" s="54">
        <f t="shared" si="15"/>
        <v>0.93700000000000006</v>
      </c>
      <c r="AM44" s="53">
        <v>33</v>
      </c>
      <c r="AN44" s="56">
        <f t="shared" si="4"/>
        <v>0.93700000000000006</v>
      </c>
      <c r="AO44" s="52"/>
      <c r="AP44" s="52"/>
      <c r="AQ44" s="52"/>
      <c r="AR44" s="52"/>
      <c r="AS44" s="53"/>
      <c r="AT44" s="53"/>
      <c r="AU44" s="53">
        <v>36</v>
      </c>
      <c r="AV44" s="54">
        <f>(AV$48-AV$43)/5+AV43</f>
        <v>1.538</v>
      </c>
      <c r="AW44" s="53"/>
      <c r="AX44" s="56"/>
      <c r="AY44" s="52"/>
      <c r="AZ44" s="52"/>
      <c r="BA44" s="52"/>
      <c r="BB44" s="52"/>
      <c r="BC44" s="52"/>
      <c r="BD44" s="52"/>
      <c r="BE44" s="52"/>
      <c r="BF44" s="55"/>
      <c r="BG44" s="52"/>
      <c r="BH44" s="55"/>
      <c r="BI44" s="52"/>
      <c r="BJ44" s="52"/>
      <c r="BK44" s="52"/>
      <c r="BL44" s="52"/>
      <c r="BM44" s="57"/>
      <c r="BN44" s="57"/>
      <c r="BO44" s="57"/>
      <c r="BP44" s="57"/>
      <c r="BQ44" s="58"/>
      <c r="BR44" s="59"/>
    </row>
    <row r="45" spans="2:70" s="40" customFormat="1" x14ac:dyDescent="0.25">
      <c r="B45" s="40">
        <f>IF((TAN(Q2*PI()/180)*((wide/2)-(16*15/12)))&gt;0,(TAN(Q2*PI()/180)*((wide/2)-(16*15/12))),0)</f>
        <v>0</v>
      </c>
      <c r="C45" s="41" t="s">
        <v>80</v>
      </c>
      <c r="N45" s="40">
        <f>IF((TAN(Q3*PI()/180)*(wide/2-(16*14/12)))&gt;0,(TAN(Q3*PI()/180)*(wide/2-(16*14/12))),0)</f>
        <v>0.44483365275086828</v>
      </c>
      <c r="O45" s="41" t="s">
        <v>81</v>
      </c>
      <c r="Z45" s="41"/>
      <c r="AG45" s="52"/>
      <c r="AH45" s="52"/>
      <c r="AI45" s="53"/>
      <c r="AJ45" s="53"/>
      <c r="AK45" s="53">
        <v>2.15</v>
      </c>
      <c r="AL45" s="54">
        <f t="shared" si="15"/>
        <v>0.93550000000000011</v>
      </c>
      <c r="AM45" s="53">
        <v>34</v>
      </c>
      <c r="AN45" s="56">
        <f t="shared" si="4"/>
        <v>0.93550000000000011</v>
      </c>
      <c r="AO45" s="52"/>
      <c r="AP45" s="52"/>
      <c r="AQ45" s="52"/>
      <c r="AR45" s="52"/>
      <c r="AS45" s="53"/>
      <c r="AT45" s="53"/>
      <c r="AU45" s="53">
        <v>37</v>
      </c>
      <c r="AV45" s="54">
        <f>(AV$48-AV$43)/5+AV44</f>
        <v>1.5660000000000001</v>
      </c>
      <c r="AW45" s="53"/>
      <c r="AX45" s="56"/>
      <c r="AY45" s="52"/>
      <c r="AZ45" s="52"/>
      <c r="BA45" s="52"/>
      <c r="BB45" s="52"/>
      <c r="BC45" s="52"/>
      <c r="BD45" s="52"/>
      <c r="BE45" s="52"/>
      <c r="BF45" s="55"/>
      <c r="BG45" s="52"/>
      <c r="BH45" s="55"/>
      <c r="BI45" s="52"/>
      <c r="BJ45" s="52"/>
      <c r="BK45" s="52"/>
      <c r="BL45" s="52"/>
      <c r="BM45" s="52"/>
      <c r="BN45" s="52"/>
      <c r="BO45" s="52"/>
      <c r="BP45" s="52"/>
      <c r="BQ45" s="58"/>
      <c r="BR45" s="59"/>
    </row>
    <row r="46" spans="2:70" s="40" customFormat="1" x14ac:dyDescent="0.25">
      <c r="B46" s="40">
        <f>IF((TAN(Q2*PI()/180)*((wide/2)-(16*16/12)))&gt;0,(TAN(Q2*PI()/180)*((wide/2)-(16*16/12))),0)</f>
        <v>0</v>
      </c>
      <c r="C46" s="41" t="s">
        <v>82</v>
      </c>
      <c r="N46" s="40">
        <f>IF((TAN(Q3*PI()/180)*(wide/2-(16*15/12)))&gt;0,(TAN(Q3*PI()/180)*(wide/2-(16*15/12))),0)</f>
        <v>0</v>
      </c>
      <c r="O46" s="41" t="s">
        <v>83</v>
      </c>
      <c r="Z46" s="41"/>
      <c r="AG46" s="52"/>
      <c r="AH46" s="52"/>
      <c r="AI46" s="53"/>
      <c r="AJ46" s="53"/>
      <c r="AK46" s="53">
        <v>2.2000000000000002</v>
      </c>
      <c r="AL46" s="54">
        <f t="shared" si="15"/>
        <v>0.93400000000000016</v>
      </c>
      <c r="AM46" s="53">
        <v>35</v>
      </c>
      <c r="AN46" s="56">
        <f t="shared" si="4"/>
        <v>0.93400000000000016</v>
      </c>
      <c r="AO46" s="52"/>
      <c r="AP46" s="52"/>
      <c r="AQ46" s="52"/>
      <c r="AR46" s="52"/>
      <c r="AS46" s="53"/>
      <c r="AT46" s="53"/>
      <c r="AU46" s="53">
        <v>38</v>
      </c>
      <c r="AV46" s="54">
        <f>(AV$48-AV$43)/5+AV45</f>
        <v>1.5940000000000001</v>
      </c>
      <c r="AW46" s="53"/>
      <c r="AX46" s="56"/>
      <c r="AY46" s="52"/>
      <c r="AZ46" s="52"/>
      <c r="BA46" s="52"/>
      <c r="BB46" s="52"/>
      <c r="BC46" s="52"/>
      <c r="BD46" s="52"/>
      <c r="BE46" s="52"/>
      <c r="BF46" s="52"/>
      <c r="BG46" s="52"/>
      <c r="BH46" s="55"/>
      <c r="BI46" s="52"/>
      <c r="BJ46" s="52"/>
      <c r="BK46" s="52"/>
      <c r="BL46" s="52"/>
      <c r="BM46" s="52"/>
      <c r="BN46" s="52"/>
      <c r="BO46" s="52"/>
      <c r="BP46" s="52"/>
      <c r="BQ46" s="58"/>
      <c r="BR46" s="59"/>
    </row>
    <row r="47" spans="2:70" s="40" customFormat="1" x14ac:dyDescent="0.25">
      <c r="B47" s="40">
        <f>IF((TAN(Q2*PI()/180)*((wide/2)-(16*17/12)))&gt;0,(TAN(Q2*PI()/180)*((wide/2)-(16*17/12))),0)</f>
        <v>0</v>
      </c>
      <c r="C47" s="41" t="s">
        <v>84</v>
      </c>
      <c r="N47" s="40">
        <f>IF((TAN(Q3*PI()/180)*(wide/2-(16*16/12)))&gt;0,(TAN(Q3*PI()/180)*(wide/2-(16*16/12))),0)</f>
        <v>0</v>
      </c>
      <c r="O47" s="41" t="s">
        <v>85</v>
      </c>
      <c r="Z47" s="41"/>
      <c r="AG47" s="29"/>
      <c r="AH47" s="29"/>
      <c r="AI47" s="32"/>
      <c r="AJ47" s="32"/>
      <c r="AK47" s="32">
        <v>2.25</v>
      </c>
      <c r="AL47" s="63">
        <f t="shared" si="15"/>
        <v>0.93250000000000022</v>
      </c>
      <c r="AM47" s="32">
        <v>36</v>
      </c>
      <c r="AN47" s="33">
        <f t="shared" si="4"/>
        <v>0.93250000000000022</v>
      </c>
      <c r="AO47" s="29"/>
      <c r="AP47" s="29"/>
      <c r="AQ47" s="29"/>
      <c r="AR47" s="29"/>
      <c r="AS47" s="32"/>
      <c r="AT47" s="32"/>
      <c r="AU47">
        <v>39</v>
      </c>
      <c r="AV47" s="64">
        <f>(AV$48-AV$43)/5+AV46</f>
        <v>1.6220000000000001</v>
      </c>
      <c r="AW47" s="32"/>
      <c r="AX47" s="33"/>
      <c r="AY47" s="29"/>
      <c r="AZ47" s="29"/>
      <c r="BA47" s="29"/>
      <c r="BB47" s="29"/>
      <c r="BC47" s="29"/>
      <c r="BD47" s="29"/>
      <c r="BE47" s="29"/>
      <c r="BF47" s="29"/>
      <c r="BG47" s="29"/>
      <c r="BH47" s="42"/>
      <c r="BI47" s="29"/>
      <c r="BJ47" s="29"/>
      <c r="BK47" s="29"/>
      <c r="BL47" s="29"/>
      <c r="BM47" s="29"/>
      <c r="BN47" s="29"/>
      <c r="BO47" s="29"/>
      <c r="BP47" s="29"/>
      <c r="BQ47" s="61"/>
      <c r="BR47" s="62"/>
    </row>
    <row r="48" spans="2:70" s="40" customFormat="1" x14ac:dyDescent="0.25">
      <c r="B48" s="40">
        <f>IF((TAN(Q2*PI()/180)*((wide/2)-(16*18/12)))&gt;0,(TAN(Q2*PI()/180)*((wide/2)-(16*18/12))),0)</f>
        <v>0</v>
      </c>
      <c r="C48" s="41" t="s">
        <v>86</v>
      </c>
      <c r="N48" s="40">
        <f>IF((TAN(Q3*PI()/180)*(wide/2-(16*17/12)))&gt;0,(TAN(Q3*PI()/180)*(wide/2-(16*17/12))),0)</f>
        <v>0</v>
      </c>
      <c r="O48" s="41" t="s">
        <v>87</v>
      </c>
      <c r="Z48" s="41"/>
      <c r="AG48" s="29"/>
      <c r="AH48" s="29"/>
      <c r="AI48" s="32"/>
      <c r="AJ48" s="32"/>
      <c r="AK48" s="32">
        <v>2.2999999999999998</v>
      </c>
      <c r="AL48" s="63">
        <f t="shared" si="15"/>
        <v>0.93100000000000027</v>
      </c>
      <c r="AM48" s="32">
        <v>37</v>
      </c>
      <c r="AN48" s="33">
        <f t="shared" si="4"/>
        <v>0.93100000000000027</v>
      </c>
      <c r="AO48" s="29"/>
      <c r="AP48" s="29"/>
      <c r="AQ48" s="29"/>
      <c r="AR48" s="29"/>
      <c r="AS48" s="32"/>
      <c r="AT48" s="32"/>
      <c r="AU48">
        <v>40</v>
      </c>
      <c r="AV48" s="63">
        <v>1.65</v>
      </c>
      <c r="AW48" s="32"/>
      <c r="AX48" s="33"/>
      <c r="AY48" s="29"/>
      <c r="AZ48" s="29"/>
      <c r="BA48" s="29"/>
      <c r="BB48" s="29"/>
      <c r="BC48" s="29"/>
      <c r="BD48" s="29"/>
      <c r="BE48" s="29"/>
      <c r="BF48" s="29"/>
      <c r="BG48" s="29"/>
      <c r="BH48" s="42"/>
      <c r="BI48" s="29"/>
      <c r="BJ48" s="29"/>
      <c r="BK48" s="29"/>
      <c r="BL48" s="29"/>
      <c r="BM48" s="29"/>
      <c r="BN48" s="29"/>
      <c r="BO48" s="29"/>
      <c r="BP48" s="29"/>
      <c r="BQ48" s="61"/>
      <c r="BR48" s="62"/>
    </row>
    <row r="49" spans="2:70" s="40" customFormat="1" x14ac:dyDescent="0.25">
      <c r="B49" s="40">
        <f>IF((TAN(Q2*PI()/180)*((wide/2)-(16*19/12)))&gt;0,(TAN(Q2*PI()/180)*((wide/2)-(16*19/12))),0)</f>
        <v>0</v>
      </c>
      <c r="C49" s="41" t="s">
        <v>88</v>
      </c>
      <c r="N49" s="40">
        <f>IF((TAN(Q3*PI()/180)*(wide/2-(16*18/12)))&gt;0,(TAN(Q3*PI()/180)*(wide/2-(16*18/12))),0)</f>
        <v>0</v>
      </c>
      <c r="O49" s="41" t="s">
        <v>89</v>
      </c>
      <c r="Z49" s="41"/>
      <c r="AG49" s="29"/>
      <c r="AH49" s="29"/>
      <c r="AI49" s="32"/>
      <c r="AJ49" s="32"/>
      <c r="AK49" s="32">
        <v>2.35</v>
      </c>
      <c r="AL49" s="63">
        <f t="shared" si="15"/>
        <v>0.92950000000000033</v>
      </c>
      <c r="AM49" s="32">
        <v>38</v>
      </c>
      <c r="AN49" s="33">
        <f t="shared" si="4"/>
        <v>0.92950000000000033</v>
      </c>
      <c r="AO49" s="29"/>
      <c r="AP49" s="29"/>
      <c r="AQ49" s="29"/>
      <c r="AR49" s="29"/>
      <c r="AS49" s="32"/>
      <c r="AT49" s="32"/>
      <c r="AU49">
        <v>41</v>
      </c>
      <c r="AV49" s="64">
        <f>(AV$53-AV$48)/5+AV48</f>
        <v>1.6759999999999999</v>
      </c>
      <c r="AW49" s="32"/>
      <c r="AX49" s="33"/>
      <c r="AY49" s="29"/>
      <c r="AZ49" s="29"/>
      <c r="BA49" s="29"/>
      <c r="BB49" s="29"/>
      <c r="BC49" s="29"/>
      <c r="BD49" s="29"/>
      <c r="BE49" s="29"/>
      <c r="BF49" s="29"/>
      <c r="BG49" s="29"/>
      <c r="BH49" s="42"/>
      <c r="BI49" s="29"/>
      <c r="BJ49" s="29"/>
      <c r="BK49" s="29"/>
      <c r="BL49" s="29"/>
      <c r="BM49" s="29"/>
      <c r="BN49" s="29"/>
      <c r="BO49" s="29"/>
      <c r="BP49" s="29"/>
      <c r="BQ49" s="61"/>
      <c r="BR49" s="62"/>
    </row>
    <row r="50" spans="2:70" s="40" customFormat="1" x14ac:dyDescent="0.25">
      <c r="B50" s="40">
        <f>IF((TAN(Q2*PI()/180)*((wide/2)-(16*20/12)))&gt;0,(TAN(Q2*PI()/180)*((wide/2)-(16*20/12))),0)</f>
        <v>0</v>
      </c>
      <c r="C50" s="41" t="s">
        <v>90</v>
      </c>
      <c r="N50" s="40">
        <f>IF((TAN(Q3*PI()/180)*(wide/2-(16*19/12)))&gt;0,(TAN(Q3*PI()/180)*(wide/2-(16*19/12))),0)</f>
        <v>0</v>
      </c>
      <c r="O50" s="41" t="s">
        <v>91</v>
      </c>
      <c r="Z50" s="41"/>
      <c r="AG50" s="29"/>
      <c r="AH50" s="29"/>
      <c r="AI50" s="32"/>
      <c r="AJ50" s="32"/>
      <c r="AK50" s="32">
        <v>2.4</v>
      </c>
      <c r="AL50" s="63">
        <f t="shared" si="15"/>
        <v>0.92800000000000038</v>
      </c>
      <c r="AM50" s="32">
        <v>39</v>
      </c>
      <c r="AN50" s="33">
        <f t="shared" si="4"/>
        <v>0.92800000000000038</v>
      </c>
      <c r="AO50" s="29"/>
      <c r="AP50" s="29"/>
      <c r="AQ50" s="29"/>
      <c r="AR50" s="29"/>
      <c r="AS50" s="32"/>
      <c r="AT50" s="32"/>
      <c r="AU50">
        <v>42</v>
      </c>
      <c r="AV50" s="64">
        <f>(AV$53-AV$48)/5+AV49</f>
        <v>1.702</v>
      </c>
      <c r="AW50" s="32"/>
      <c r="AX50" s="33"/>
      <c r="AY50" s="29"/>
      <c r="AZ50" s="29"/>
      <c r="BA50" s="29"/>
      <c r="BB50" s="29"/>
      <c r="BC50" s="29"/>
      <c r="BD50" s="29"/>
      <c r="BE50" s="29"/>
      <c r="BF50" s="29"/>
      <c r="BG50" s="29"/>
      <c r="BH50" s="42"/>
      <c r="BI50" s="29"/>
      <c r="BJ50" s="29"/>
      <c r="BK50" s="29"/>
      <c r="BL50" s="29"/>
      <c r="BM50" s="29"/>
      <c r="BN50" s="29"/>
      <c r="BO50" s="29"/>
      <c r="BP50" s="29"/>
      <c r="BQ50" s="61"/>
      <c r="BR50" s="62"/>
    </row>
    <row r="51" spans="2:70" s="40" customFormat="1" x14ac:dyDescent="0.25">
      <c r="B51" s="40">
        <f>IF((TAN(Q2*PI()/180)*((wide/2)-(16*21/12)))&gt;0,(TAN(Q2*PI()/180)*((wide/2)-(16*21/12))),0)</f>
        <v>0</v>
      </c>
      <c r="C51" s="41" t="s">
        <v>92</v>
      </c>
      <c r="N51" s="40">
        <f>IF((TAN(Q3*PI()/180)*(wide/2-(16*20/12)))&gt;0,(TAN(Q3*PI()/180)*(wide/2-(16*20/12))),0)</f>
        <v>0</v>
      </c>
      <c r="O51" s="41" t="s">
        <v>93</v>
      </c>
      <c r="Z51" s="41"/>
      <c r="AG51" s="29"/>
      <c r="AH51" s="29"/>
      <c r="AI51" s="32"/>
      <c r="AJ51" s="32"/>
      <c r="AK51" s="32">
        <v>2.4500000000000002</v>
      </c>
      <c r="AL51" s="63">
        <f t="shared" si="15"/>
        <v>0.92650000000000043</v>
      </c>
      <c r="AM51" s="32">
        <v>40</v>
      </c>
      <c r="AN51" s="33">
        <f t="shared" si="4"/>
        <v>0.92650000000000043</v>
      </c>
      <c r="AO51" s="29"/>
      <c r="AP51" s="29"/>
      <c r="AQ51" s="29"/>
      <c r="AR51" s="29"/>
      <c r="AS51" s="32"/>
      <c r="AT51" s="32"/>
      <c r="AU51">
        <v>43</v>
      </c>
      <c r="AV51" s="64">
        <f>(AV$53-AV$48)/5+AV50</f>
        <v>1.728</v>
      </c>
      <c r="AW51" s="32"/>
      <c r="AX51" s="33"/>
      <c r="AY51" s="29"/>
      <c r="AZ51" s="29"/>
      <c r="BA51" s="29"/>
      <c r="BB51" s="29"/>
      <c r="BC51" s="29"/>
      <c r="BD51" s="29"/>
      <c r="BE51" s="29"/>
      <c r="BF51" s="29"/>
      <c r="BG51" s="29"/>
      <c r="BH51" s="42"/>
      <c r="BI51" s="29"/>
      <c r="BJ51" s="29"/>
      <c r="BK51" s="29"/>
      <c r="BL51" s="29"/>
      <c r="BM51" s="29"/>
      <c r="BN51" s="29"/>
      <c r="BO51" s="29"/>
      <c r="BP51" s="29"/>
      <c r="BQ51" s="61"/>
      <c r="BR51" s="62"/>
    </row>
    <row r="52" spans="2:70" s="40" customFormat="1" x14ac:dyDescent="0.25">
      <c r="B52" s="40">
        <f>IF((TAN(Q2*PI()/180)*((wide/2)-(16*22/12)))&gt;0,(TAN(Q2*PI()/180)*((wide/2)-(16*22/12))),0)</f>
        <v>0</v>
      </c>
      <c r="C52" s="41" t="s">
        <v>94</v>
      </c>
      <c r="N52" s="40">
        <f>IF((TAN(Q3*PI()/180)*(wide/2-(16*21/12)))&gt;0,(TAN(Q3*PI()/180)*(wide/2-(16*21/12))),0)</f>
        <v>0</v>
      </c>
      <c r="O52" s="41" t="s">
        <v>95</v>
      </c>
      <c r="Z52" s="41"/>
      <c r="AG52" s="29"/>
      <c r="AH52" s="29"/>
      <c r="AI52" s="32"/>
      <c r="AJ52" s="32"/>
      <c r="AK52" s="32">
        <v>2.5</v>
      </c>
      <c r="AL52" s="32">
        <v>0.92500000000000004</v>
      </c>
      <c r="AM52" s="32">
        <v>41</v>
      </c>
      <c r="AN52" s="33">
        <f t="shared" si="4"/>
        <v>0.92500000000000004</v>
      </c>
      <c r="AO52" s="29"/>
      <c r="AP52" s="29"/>
      <c r="AQ52" s="29"/>
      <c r="AR52" s="29"/>
      <c r="AS52" s="32"/>
      <c r="AT52" s="32"/>
      <c r="AU52">
        <v>44</v>
      </c>
      <c r="AV52" s="64">
        <f>(AV$53-AV$48)/5+AV51</f>
        <v>1.754</v>
      </c>
      <c r="AW52" s="32"/>
      <c r="AX52" s="33"/>
      <c r="AY52" s="29"/>
      <c r="AZ52" s="29"/>
      <c r="BA52" s="29"/>
      <c r="BB52" s="29"/>
      <c r="BC52" s="29"/>
      <c r="BD52" s="29"/>
      <c r="BE52" s="29"/>
      <c r="BF52" s="29"/>
      <c r="BG52" s="29"/>
      <c r="BH52" s="42"/>
      <c r="BI52" s="29"/>
      <c r="BJ52" s="29"/>
      <c r="BK52" s="29"/>
      <c r="BL52" s="29"/>
      <c r="BM52" s="29"/>
      <c r="BN52" s="29"/>
      <c r="BO52" s="29"/>
      <c r="BP52" s="29"/>
      <c r="BQ52" s="61"/>
      <c r="BR52" s="62"/>
    </row>
    <row r="53" spans="2:70" s="40" customFormat="1" x14ac:dyDescent="0.25">
      <c r="B53" s="40">
        <f>IF((TAN(Q2*PI()/180)*((wide/2)-(16*23/12)))&gt;0,(TAN(Q2*PI()/180)*((wide/2)-(16*23/12))),0)</f>
        <v>0</v>
      </c>
      <c r="C53" s="41" t="s">
        <v>96</v>
      </c>
      <c r="N53" s="40">
        <f>IF((TAN(Q3*PI()/180)*(wide/2-(16*22/12)))&gt;0,(TAN(Q3*PI()/180)*(wide/2-(16*22/12))),0)</f>
        <v>0</v>
      </c>
      <c r="O53" s="41" t="s">
        <v>97</v>
      </c>
      <c r="Z53" s="41"/>
      <c r="AG53" s="29"/>
      <c r="AH53" s="29"/>
      <c r="AI53" s="32"/>
      <c r="AJ53" s="32"/>
      <c r="AK53" s="32">
        <v>2.5499999999999998</v>
      </c>
      <c r="AL53" s="63">
        <f t="shared" ref="AL53:AL61" si="16">AL52-(AL$52-AL$62)/10</f>
        <v>0.92349999999999999</v>
      </c>
      <c r="AM53" s="32">
        <v>42</v>
      </c>
      <c r="AN53" s="33">
        <f t="shared" si="4"/>
        <v>0.92349999999999999</v>
      </c>
      <c r="AO53" s="29"/>
      <c r="AP53" s="29"/>
      <c r="AQ53" s="29"/>
      <c r="AR53" s="29"/>
      <c r="AS53" s="32"/>
      <c r="AT53" s="32"/>
      <c r="AU53">
        <v>45</v>
      </c>
      <c r="AV53" s="63">
        <v>1.78</v>
      </c>
      <c r="AW53" s="32"/>
      <c r="AX53" s="33"/>
      <c r="AY53" s="29"/>
      <c r="AZ53" s="29"/>
      <c r="BA53" s="29"/>
      <c r="BB53" s="29"/>
      <c r="BC53" s="29"/>
      <c r="BD53" s="29"/>
      <c r="BE53" s="29"/>
      <c r="BF53" s="29"/>
      <c r="BG53" s="29"/>
      <c r="BH53" s="42"/>
      <c r="BI53" s="29"/>
      <c r="BJ53" s="29"/>
      <c r="BK53" s="29"/>
      <c r="BL53" s="29"/>
      <c r="BM53" s="29"/>
      <c r="BN53" s="29"/>
      <c r="BO53" s="29"/>
      <c r="BP53" s="29"/>
      <c r="BQ53" s="61"/>
      <c r="BR53" s="62"/>
    </row>
    <row r="54" spans="2:70" s="40" customFormat="1" x14ac:dyDescent="0.25">
      <c r="B54" s="40">
        <f>IF((TAN(Q2*PI()/180)*((wide/2)-(16*24/12)))&gt;0,(TAN(Q2*PI()/180)*((wide/2)-(16*24/12))),0)</f>
        <v>0</v>
      </c>
      <c r="C54" s="41" t="s">
        <v>98</v>
      </c>
      <c r="N54" s="40">
        <f>IF((TAN(Q3*PI()/180)*(wide/2-(16*23/12)))&gt;0,(TAN(Q3*PI()/180)*(wide/2-(16*23/12))),0)</f>
        <v>0</v>
      </c>
      <c r="O54" s="41" t="s">
        <v>99</v>
      </c>
      <c r="Z54" s="41"/>
      <c r="AG54" s="29"/>
      <c r="AH54" s="29"/>
      <c r="AI54" s="32"/>
      <c r="AJ54" s="32"/>
      <c r="AK54" s="32">
        <v>2.6</v>
      </c>
      <c r="AL54" s="63">
        <f t="shared" si="16"/>
        <v>0.92199999999999993</v>
      </c>
      <c r="AM54" s="32">
        <v>43</v>
      </c>
      <c r="AN54" s="33">
        <f t="shared" si="4"/>
        <v>0.92199999999999993</v>
      </c>
      <c r="AO54" s="29"/>
      <c r="AP54" s="29"/>
      <c r="AQ54" s="29"/>
      <c r="AR54" s="29"/>
      <c r="AS54" s="32"/>
      <c r="AT54" s="32"/>
      <c r="AU54">
        <v>46</v>
      </c>
      <c r="AV54" s="64">
        <f>(AV$58-AV$53)/5+AV53</f>
        <v>1.81</v>
      </c>
      <c r="AW54" s="32"/>
      <c r="AX54" s="33"/>
      <c r="AY54" s="29"/>
      <c r="AZ54" s="29"/>
      <c r="BA54" s="29"/>
      <c r="BB54" s="29"/>
      <c r="BC54" s="29"/>
      <c r="BD54" s="29"/>
      <c r="BE54" s="29"/>
      <c r="BF54" s="29"/>
      <c r="BG54" s="29"/>
      <c r="BH54" s="42"/>
      <c r="BI54" s="29"/>
      <c r="BJ54" s="29"/>
      <c r="BK54" s="29"/>
      <c r="BL54" s="29"/>
      <c r="BM54" s="29"/>
      <c r="BN54" s="29"/>
      <c r="BO54" s="29"/>
      <c r="BP54" s="29"/>
      <c r="BQ54" s="61"/>
      <c r="BR54" s="62"/>
    </row>
    <row r="55" spans="2:70" s="40" customFormat="1" x14ac:dyDescent="0.25">
      <c r="B55" s="40">
        <f>IF((TAN(Q2*PI()/180)*((wide/2)-(16*25/12)))&gt;0,(TAN(Q2*PI()/180)*((wide/2)-(16*25/12))),0)</f>
        <v>0</v>
      </c>
      <c r="C55" s="41" t="s">
        <v>100</v>
      </c>
      <c r="N55" s="40">
        <f>IF((TAN(Q3*PI()/180)*(wide/2-(16*24/12)))&gt;0,(TAN(Q3*PI()/180)*(wide/2-(16*24/12))),0)</f>
        <v>0</v>
      </c>
      <c r="O55" s="41" t="s">
        <v>101</v>
      </c>
      <c r="Z55" s="41"/>
      <c r="AG55" s="29"/>
      <c r="AH55" s="29"/>
      <c r="AI55" s="32"/>
      <c r="AJ55" s="32"/>
      <c r="AK55" s="32">
        <v>2.65</v>
      </c>
      <c r="AL55" s="63">
        <f t="shared" si="16"/>
        <v>0.92049999999999987</v>
      </c>
      <c r="AM55" s="32">
        <v>44</v>
      </c>
      <c r="AN55" s="33">
        <f t="shared" si="4"/>
        <v>0.92049999999999987</v>
      </c>
      <c r="AO55" s="29"/>
      <c r="AP55" s="29"/>
      <c r="AQ55" s="29"/>
      <c r="AR55" s="29"/>
      <c r="AS55" s="32"/>
      <c r="AT55" s="32"/>
      <c r="AU55">
        <v>47</v>
      </c>
      <c r="AV55" s="64">
        <f>(AV$58-AV$53)/5+AV54</f>
        <v>1.84</v>
      </c>
      <c r="AW55" s="32"/>
      <c r="AX55" s="33"/>
      <c r="AY55" s="29"/>
      <c r="AZ55" s="29"/>
      <c r="BA55" s="29"/>
      <c r="BB55" s="29"/>
      <c r="BC55" s="29"/>
      <c r="BD55" s="29"/>
      <c r="BE55" s="29"/>
      <c r="BF55" s="29"/>
      <c r="BG55" s="29"/>
      <c r="BH55" s="42"/>
      <c r="BI55" s="29"/>
      <c r="BJ55" s="29"/>
      <c r="BK55" s="29"/>
      <c r="BL55" s="29"/>
      <c r="BM55" s="29"/>
      <c r="BN55" s="29"/>
      <c r="BO55" s="29"/>
      <c r="BP55" s="29"/>
      <c r="BQ55" s="61"/>
      <c r="BR55" s="62"/>
    </row>
    <row r="56" spans="2:70" s="40" customFormat="1" x14ac:dyDescent="0.25">
      <c r="B56" s="40">
        <f>IF((TAN(Q2*PI()/180)*((wide/2)-(16*26/12)))&gt;0,(TAN(Q2*PI()/180)*((wide/2)-(16*26/12))),0)</f>
        <v>0</v>
      </c>
      <c r="C56" s="41" t="s">
        <v>102</v>
      </c>
      <c r="N56" s="40">
        <f>IF((TAN(Q3*PI()/180)*(wide/2-(16*25/12)))&gt;0,(TAN(Q3*PI()/180)*(wide/2-(16*25/12))),0)</f>
        <v>0</v>
      </c>
      <c r="O56" s="41" t="s">
        <v>103</v>
      </c>
      <c r="Z56" s="41"/>
      <c r="AG56" s="29"/>
      <c r="AH56" s="29"/>
      <c r="AI56" s="32"/>
      <c r="AJ56" s="32"/>
      <c r="AK56" s="32">
        <v>2.7</v>
      </c>
      <c r="AL56" s="63">
        <f t="shared" si="16"/>
        <v>0.91899999999999982</v>
      </c>
      <c r="AM56" s="32">
        <v>45</v>
      </c>
      <c r="AN56" s="33">
        <f t="shared" si="4"/>
        <v>0.91899999999999982</v>
      </c>
      <c r="AO56" s="29"/>
      <c r="AP56" s="29"/>
      <c r="AQ56" s="29"/>
      <c r="AR56" s="29"/>
      <c r="AS56" s="32"/>
      <c r="AT56" s="32"/>
      <c r="AU56">
        <v>48</v>
      </c>
      <c r="AV56" s="64">
        <f>(AV$58-AV$53)/5+AV55</f>
        <v>1.87</v>
      </c>
      <c r="AW56" s="32"/>
      <c r="AX56" s="33"/>
      <c r="AY56" s="29"/>
      <c r="AZ56" s="29"/>
      <c r="BA56" s="29"/>
      <c r="BB56" s="29"/>
      <c r="BC56" s="29"/>
      <c r="BD56" s="29"/>
      <c r="BE56" s="29"/>
      <c r="BF56" s="29"/>
      <c r="BG56" s="29"/>
      <c r="BH56" s="42"/>
      <c r="BI56" s="29"/>
      <c r="BJ56" s="29"/>
      <c r="BK56" s="29"/>
      <c r="BL56" s="29"/>
      <c r="BM56" s="29"/>
      <c r="BN56" s="29"/>
      <c r="BO56" s="29"/>
      <c r="BP56" s="29"/>
      <c r="BQ56" s="61"/>
      <c r="BR56" s="62"/>
    </row>
    <row r="57" spans="2:70" s="40" customFormat="1" x14ac:dyDescent="0.25">
      <c r="B57" s="40">
        <f>IF((TAN(Q2*PI()/180)*((wide/2)-(16*27/12)))&gt;0,(TAN(Q2*PI()/180)*((wide/2)-(16*27/12))),0)</f>
        <v>0</v>
      </c>
      <c r="C57" s="41" t="s">
        <v>104</v>
      </c>
      <c r="N57" s="40">
        <f>IF((TAN(Q3*PI()/180)*(wide/2-(16*26/12)))&gt;0,(TAN(Q3*PI()/180)*(wide/2-(16*26/12))),0)</f>
        <v>0</v>
      </c>
      <c r="O57" s="41" t="s">
        <v>105</v>
      </c>
      <c r="Z57" s="41"/>
      <c r="AG57" s="29"/>
      <c r="AH57" s="29"/>
      <c r="AI57" s="32"/>
      <c r="AJ57" s="32"/>
      <c r="AK57" s="32">
        <v>2.75</v>
      </c>
      <c r="AL57" s="63">
        <f t="shared" si="16"/>
        <v>0.91749999999999976</v>
      </c>
      <c r="AM57" s="32">
        <v>46</v>
      </c>
      <c r="AN57" s="33">
        <f t="shared" si="4"/>
        <v>0.91749999999999976</v>
      </c>
      <c r="AO57" s="21"/>
      <c r="AP57" s="21"/>
      <c r="AQ57" s="29"/>
      <c r="AR57" s="29"/>
      <c r="AS57" s="32"/>
      <c r="AT57" s="32"/>
      <c r="AU57">
        <v>49</v>
      </c>
      <c r="AV57" s="64">
        <f>(AV$58-AV$53)/5+AV56</f>
        <v>1.9000000000000001</v>
      </c>
      <c r="AW57" s="32"/>
      <c r="AX57" s="33"/>
      <c r="AY57" s="21"/>
      <c r="AZ57" s="21"/>
      <c r="BA57" s="21"/>
      <c r="BB57" s="21"/>
      <c r="BC57" s="21"/>
      <c r="BD57" s="21"/>
      <c r="BE57" s="21"/>
      <c r="BF57" s="65"/>
      <c r="BG57" s="21"/>
      <c r="BH57" s="39"/>
      <c r="BI57" s="21"/>
      <c r="BJ57" s="21"/>
      <c r="BK57" s="21"/>
      <c r="BL57" s="21"/>
      <c r="BM57" s="21"/>
      <c r="BN57" s="21"/>
      <c r="BO57" s="21"/>
      <c r="BP57" s="21"/>
      <c r="BQ57" s="66"/>
      <c r="BR57" s="62"/>
    </row>
    <row r="58" spans="2:70" s="40" customFormat="1" x14ac:dyDescent="0.25">
      <c r="B58" s="40">
        <f>IF((TAN(Q2*PI()/180)*((wide/2)-(16*28/12)))&gt;0,(TAN(Q2*PI()/180)*((wide/2)-(16*28/12))),0)</f>
        <v>0</v>
      </c>
      <c r="C58" s="41" t="s">
        <v>106</v>
      </c>
      <c r="N58" s="40">
        <f>IF((TAN(Q3*PI()/180)*(wide/2-(16*27/12)))&gt;0,(TAN(Q3*PI()/180)*(wide/2-(16*27/12))),0)</f>
        <v>0</v>
      </c>
      <c r="O58" s="41" t="s">
        <v>107</v>
      </c>
      <c r="Z58" s="41"/>
      <c r="AG58" s="29"/>
      <c r="AH58" s="29"/>
      <c r="AI58" s="32"/>
      <c r="AJ58" s="32"/>
      <c r="AK58" s="32">
        <v>2.8</v>
      </c>
      <c r="AL58" s="63">
        <f t="shared" si="16"/>
        <v>0.9159999999999997</v>
      </c>
      <c r="AM58" s="32">
        <v>47</v>
      </c>
      <c r="AN58" s="33">
        <f t="shared" si="4"/>
        <v>0.9159999999999997</v>
      </c>
      <c r="AO58" s="21"/>
      <c r="AP58" s="21"/>
      <c r="AQ58" s="29"/>
      <c r="AR58" s="29"/>
      <c r="AS58" s="32"/>
      <c r="AT58" s="32"/>
      <c r="AU58">
        <v>50</v>
      </c>
      <c r="AV58" s="63">
        <v>1.93</v>
      </c>
      <c r="AW58" s="32"/>
      <c r="AX58" s="33"/>
      <c r="AY58" s="21"/>
      <c r="AZ58" s="21"/>
      <c r="BA58" s="21"/>
      <c r="BB58" s="21"/>
      <c r="BC58" s="21"/>
      <c r="BD58" s="21"/>
      <c r="BE58" s="21"/>
      <c r="BF58" s="65"/>
      <c r="BG58" s="21"/>
      <c r="BH58" s="39"/>
      <c r="BI58" s="21"/>
      <c r="BJ58" s="21"/>
      <c r="BK58" s="21"/>
      <c r="BL58" s="21"/>
      <c r="BM58" s="21"/>
      <c r="BN58" s="21"/>
      <c r="BO58" s="21"/>
      <c r="BP58" s="21"/>
      <c r="BQ58" s="66"/>
      <c r="BR58" s="62"/>
    </row>
    <row r="59" spans="2:70" s="40" customFormat="1" x14ac:dyDescent="0.25">
      <c r="B59" s="40">
        <f>IF((TAN(Q2*PI()/180)*((wide/2)-(16*29/12)))&gt;0,(TAN(Q2*PI()/180)*((wide/2)-(16*29/12))),0)</f>
        <v>0</v>
      </c>
      <c r="C59" s="41" t="s">
        <v>108</v>
      </c>
      <c r="N59" s="40">
        <f>IF((TAN(Q3*PI()/180)*(wide/2-(16*28/12)))&gt;0,(TAN(Q3*PI()/180)*(wide/2-(16*28/12))),0)</f>
        <v>0</v>
      </c>
      <c r="O59" s="41" t="s">
        <v>109</v>
      </c>
      <c r="Z59" s="41"/>
      <c r="AG59" s="29"/>
      <c r="AH59" s="29"/>
      <c r="AI59" s="32"/>
      <c r="AJ59" s="32"/>
      <c r="AK59" s="32">
        <v>2.85</v>
      </c>
      <c r="AL59" s="63">
        <f t="shared" si="16"/>
        <v>0.91449999999999965</v>
      </c>
      <c r="AM59" s="32">
        <v>48</v>
      </c>
      <c r="AN59" s="33">
        <f t="shared" si="4"/>
        <v>0.91449999999999965</v>
      </c>
      <c r="AO59" s="42"/>
      <c r="AP59" s="42"/>
      <c r="AQ59" s="29"/>
      <c r="AR59" s="29"/>
      <c r="AS59" s="32"/>
      <c r="AT59" s="32"/>
      <c r="AU59">
        <v>51</v>
      </c>
      <c r="AV59" s="64">
        <f>(AV$63-AV$58)/5+AV58</f>
        <v>1.958</v>
      </c>
      <c r="AW59" s="32"/>
      <c r="AX59" s="33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67"/>
      <c r="BR59" s="68"/>
    </row>
    <row r="60" spans="2:70" s="40" customFormat="1" x14ac:dyDescent="0.25">
      <c r="B60" s="40">
        <f>IF((TAN(Q2*PI()/180)*((wide/2)-(16*30/12)))&gt;0,(TAN(Q2*PI()/180)*((wide/2)-(16*30/12))),0)</f>
        <v>0</v>
      </c>
      <c r="C60" s="41" t="s">
        <v>110</v>
      </c>
      <c r="N60" s="40">
        <f>IF((TAN(Q3*PI()/180)*(wide/2-(16*29/12)))&gt;0,(TAN(Q3*PI()/180)*(wide/2-(16*29/12))),0)</f>
        <v>0</v>
      </c>
      <c r="O60" s="41" t="s">
        <v>111</v>
      </c>
      <c r="Z60" s="41"/>
      <c r="AG60" s="29"/>
      <c r="AH60" s="29"/>
      <c r="AI60" s="32"/>
      <c r="AJ60" s="32"/>
      <c r="AK60" s="32">
        <v>2.9</v>
      </c>
      <c r="AL60" s="63">
        <f t="shared" si="16"/>
        <v>0.91299999999999959</v>
      </c>
      <c r="AM60" s="32">
        <v>49</v>
      </c>
      <c r="AN60" s="33">
        <f t="shared" si="4"/>
        <v>0.91299999999999959</v>
      </c>
      <c r="AO60" s="42"/>
      <c r="AP60" s="42"/>
      <c r="AQ60" s="29"/>
      <c r="AR60" s="29"/>
      <c r="AS60" s="32"/>
      <c r="AT60" s="32"/>
      <c r="AU60">
        <v>52</v>
      </c>
      <c r="AV60" s="64">
        <f>(AV$63-AV$58)/5+AV59</f>
        <v>1.986</v>
      </c>
      <c r="AW60" s="32"/>
      <c r="AX60" s="33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67"/>
      <c r="BR60" s="68"/>
    </row>
    <row r="61" spans="2:70" s="40" customFormat="1" x14ac:dyDescent="0.25">
      <c r="B61" s="40">
        <f>IF((TAN(Q2*PI()/180)*((wide/2)-(16*31/12)))&gt;0,(TAN(Q2*PI()/180)*((wide/2)-(16*31/12))),0)</f>
        <v>0</v>
      </c>
      <c r="C61" s="41" t="s">
        <v>112</v>
      </c>
      <c r="N61" s="40">
        <f>IF((TAN(Q3*PI()/180)*(wide/2-(16*30/12)))&gt;0,(TAN(Q3*PI()/180)*(wide/2-(16*30/12))),0)</f>
        <v>0</v>
      </c>
      <c r="O61" s="41" t="s">
        <v>113</v>
      </c>
      <c r="Z61" s="41"/>
      <c r="AG61" s="29"/>
      <c r="AH61" s="29"/>
      <c r="AI61" s="32"/>
      <c r="AJ61" s="32"/>
      <c r="AK61" s="32">
        <v>2.95</v>
      </c>
      <c r="AL61" s="63">
        <f t="shared" si="16"/>
        <v>0.91149999999999953</v>
      </c>
      <c r="AM61" s="32">
        <v>50</v>
      </c>
      <c r="AN61" s="33">
        <f t="shared" si="4"/>
        <v>0.91149999999999953</v>
      </c>
      <c r="AO61" s="42"/>
      <c r="AP61" s="42"/>
      <c r="AQ61" s="29"/>
      <c r="AR61" s="29"/>
      <c r="AS61" s="32"/>
      <c r="AT61" s="32"/>
      <c r="AU61">
        <v>53</v>
      </c>
      <c r="AV61" s="64">
        <f>(AV$63-AV$58)/5+AV60</f>
        <v>2.0139999999999998</v>
      </c>
      <c r="AW61" s="32"/>
      <c r="AX61" s="33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</row>
    <row r="62" spans="2:70" s="40" customFormat="1" x14ac:dyDescent="0.25">
      <c r="B62" s="40">
        <f>IF((TAN(Q2*PI()/180)*((wide/2)-(16*32/12)))&gt;0,(TAN(Q2*PI()/180)*((wide/2)-(16*32/12))),0)</f>
        <v>0</v>
      </c>
      <c r="C62" s="41" t="s">
        <v>114</v>
      </c>
      <c r="N62" s="40">
        <f>IF((TAN(Q3*PI()/180)*(wide/2-(16*31/12)))&gt;0,(TAN(Q3*PI()/180)*(wide/2-(16*31/12))),0)</f>
        <v>0</v>
      </c>
      <c r="O62" s="41" t="s">
        <v>115</v>
      </c>
      <c r="Z62" s="41"/>
      <c r="AG62" s="29"/>
      <c r="AH62" s="29"/>
      <c r="AI62" s="32"/>
      <c r="AJ62" s="32"/>
      <c r="AK62" s="32">
        <v>3</v>
      </c>
      <c r="AL62" s="32">
        <v>0.91</v>
      </c>
      <c r="AM62" s="32">
        <v>51</v>
      </c>
      <c r="AN62" s="33">
        <f t="shared" si="4"/>
        <v>0.91</v>
      </c>
      <c r="AO62" s="42"/>
      <c r="AP62" s="42"/>
      <c r="AQ62" s="29"/>
      <c r="AR62" s="29"/>
      <c r="AS62" s="32"/>
      <c r="AT62" s="32"/>
      <c r="AU62">
        <v>54</v>
      </c>
      <c r="AV62" s="64">
        <f>(AV$63-AV$58)/5+AV61</f>
        <v>2.0419999999999998</v>
      </c>
      <c r="AW62" s="32"/>
      <c r="AX62" s="33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</row>
    <row r="63" spans="2:70" s="40" customFormat="1" x14ac:dyDescent="0.25">
      <c r="B63" s="40">
        <f>IF((TAN(Q2*PI()/180)*((wide/2)-(16*33/12)))&gt;0,(TAN(Q2*PI()/180)*((wide/2)-(16*33/12))),0)</f>
        <v>0</v>
      </c>
      <c r="C63" s="41" t="s">
        <v>116</v>
      </c>
      <c r="N63" s="40">
        <f>IF((TAN(Q3*PI()/180)*(wide/2-(16*32/12)))&gt;0,(TAN(Q3*PI()/180)*(wide/2-(16*32/12))),0)</f>
        <v>0</v>
      </c>
      <c r="O63" s="41" t="s">
        <v>117</v>
      </c>
      <c r="Z63" s="41"/>
      <c r="AG63" s="29"/>
      <c r="AH63" s="29"/>
      <c r="AI63" s="32"/>
      <c r="AJ63" s="32"/>
      <c r="AK63" s="32">
        <v>3.05</v>
      </c>
      <c r="AL63" s="32">
        <f t="shared" ref="AL63:AL71" si="17">AL62-(AL$62-AL$72)/10</f>
        <v>0.90900000000000003</v>
      </c>
      <c r="AM63" s="32">
        <v>52</v>
      </c>
      <c r="AN63" s="33">
        <f t="shared" si="4"/>
        <v>0.90900000000000003</v>
      </c>
      <c r="AO63" s="42"/>
      <c r="AP63" s="42"/>
      <c r="AQ63" s="29"/>
      <c r="AR63" s="29"/>
      <c r="AS63" s="32"/>
      <c r="AT63" s="32"/>
      <c r="AU63">
        <v>55</v>
      </c>
      <c r="AV63" s="32">
        <v>2.0699999999999998</v>
      </c>
      <c r="AW63" s="32"/>
      <c r="AX63" s="33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</row>
    <row r="64" spans="2:70" s="40" customFormat="1" x14ac:dyDescent="0.25">
      <c r="B64" s="40">
        <f>IF((TAN(Q2*PI()/180)*((wide/2)-(16*34/12)))&gt;0,(TAN(Q2*PI()/180)*((wide/2)-(16*34/12))),0)</f>
        <v>0</v>
      </c>
      <c r="C64" s="41" t="s">
        <v>118</v>
      </c>
      <c r="N64" s="40">
        <f>IF((TAN(Q3*PI()/180)*(wide/2-(16*33/12)))&gt;0,(TAN(Q3*PI()/180)*(wide/2-(16*33/12))),0)</f>
        <v>0</v>
      </c>
      <c r="O64" s="41" t="s">
        <v>119</v>
      </c>
      <c r="Z64" s="41"/>
      <c r="AG64" s="29"/>
      <c r="AH64" s="29"/>
      <c r="AI64" s="32"/>
      <c r="AJ64" s="32"/>
      <c r="AK64" s="32">
        <v>3.1</v>
      </c>
      <c r="AL64" s="32">
        <f t="shared" si="17"/>
        <v>0.90800000000000003</v>
      </c>
      <c r="AM64" s="32">
        <v>53</v>
      </c>
      <c r="AN64" s="33">
        <f t="shared" si="4"/>
        <v>0.90800000000000003</v>
      </c>
      <c r="AO64" s="42"/>
      <c r="AP64" s="42"/>
      <c r="AQ64" s="29"/>
      <c r="AR64" s="29"/>
      <c r="AS64" s="32"/>
      <c r="AT64" s="32"/>
      <c r="AU64">
        <v>56</v>
      </c>
      <c r="AV64" s="64">
        <f>(AV$68-AV$63)/5+AV63</f>
        <v>2.1</v>
      </c>
      <c r="AW64" s="32"/>
      <c r="AX64" s="33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</row>
    <row r="65" spans="2:70" s="40" customFormat="1" x14ac:dyDescent="0.25">
      <c r="B65" s="40">
        <f>IF((TAN(Q2*PI()/180)*((wide/2)-(16*35/12)))&gt;0,(TAN(Q2*PI()/180)*((wide/2)-(16*35/12))),0)</f>
        <v>0</v>
      </c>
      <c r="C65" s="41" t="s">
        <v>120</v>
      </c>
      <c r="N65" s="40">
        <f>IF((TAN(Q3*PI()/180)*(wide/2-(16*34/12)))&gt;0,(TAN(Q3*PI()/180)*(wide/2-(16*34/12))),0)</f>
        <v>0</v>
      </c>
      <c r="O65" s="41" t="s">
        <v>121</v>
      </c>
      <c r="Z65" s="41"/>
      <c r="AG65" s="29"/>
      <c r="AH65" s="29"/>
      <c r="AI65" s="32"/>
      <c r="AJ65" s="32"/>
      <c r="AK65" s="32">
        <v>3.15</v>
      </c>
      <c r="AL65" s="32">
        <f t="shared" si="17"/>
        <v>0.90700000000000003</v>
      </c>
      <c r="AM65" s="32">
        <v>54</v>
      </c>
      <c r="AN65" s="33">
        <f t="shared" si="4"/>
        <v>0.90700000000000003</v>
      </c>
      <c r="AO65" s="42"/>
      <c r="AP65" s="42"/>
      <c r="AQ65" s="29"/>
      <c r="AR65" s="29"/>
      <c r="AS65" s="32"/>
      <c r="AT65" s="32"/>
      <c r="AU65">
        <v>57</v>
      </c>
      <c r="AV65" s="64">
        <f>(AV$68-AV$63)/5+AV64</f>
        <v>2.1300000000000003</v>
      </c>
      <c r="AW65" s="32"/>
      <c r="AX65" s="33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</row>
    <row r="66" spans="2:70" s="40" customFormat="1" x14ac:dyDescent="0.25">
      <c r="B66" s="40">
        <f>IF((TAN(Q2*PI()/180)*((wide/2)-(16*36/12)))&gt;0,(TAN(Q2*PI()/180)*((wide/2)-(16*36/12))),0)</f>
        <v>0</v>
      </c>
      <c r="C66" s="41" t="s">
        <v>122</v>
      </c>
      <c r="N66" s="40">
        <f>IF((TAN(Q3*PI()/180)*(wide/2-(16*35/12)))&gt;0,(TAN(Q3*PI()/180)*(wide/2-(16*35/12))),0)</f>
        <v>0</v>
      </c>
      <c r="O66" s="41" t="s">
        <v>123</v>
      </c>
      <c r="Z66" s="41"/>
      <c r="AG66" s="29"/>
      <c r="AH66" s="29"/>
      <c r="AI66" s="32"/>
      <c r="AJ66" s="32"/>
      <c r="AK66" s="32">
        <v>3.2</v>
      </c>
      <c r="AL66" s="32">
        <f t="shared" si="17"/>
        <v>0.90600000000000003</v>
      </c>
      <c r="AM66" s="32">
        <v>55</v>
      </c>
      <c r="AN66" s="33">
        <f t="shared" si="4"/>
        <v>0.90600000000000003</v>
      </c>
      <c r="AO66" s="42"/>
      <c r="AP66" s="42"/>
      <c r="AQ66" s="29"/>
      <c r="AR66" s="29"/>
      <c r="AS66" s="32"/>
      <c r="AT66" s="32"/>
      <c r="AU66">
        <v>58</v>
      </c>
      <c r="AV66" s="64">
        <f>(AV$68-AV$63)/5+AV65</f>
        <v>2.1600000000000006</v>
      </c>
      <c r="AW66" s="32"/>
      <c r="AX66" s="33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</row>
    <row r="67" spans="2:70" s="40" customFormat="1" x14ac:dyDescent="0.25">
      <c r="B67" s="40">
        <f>IF((TAN(Q2*PI()/180)*((wide/2)-(16*37/12)))&gt;0,(TAN(Q2*PI()/180)*((wide/2)-(16*37/12))),0)</f>
        <v>0</v>
      </c>
      <c r="C67" s="41" t="s">
        <v>124</v>
      </c>
      <c r="N67" s="40">
        <f>IF((TAN(Q3*PI()/180)*(wide/2-(16*36/12)))&gt;0,(TAN(Q3*PI()/180)*(wide/2-(16*36/12))),0)</f>
        <v>0</v>
      </c>
      <c r="O67" s="41" t="s">
        <v>125</v>
      </c>
      <c r="Z67" s="41"/>
      <c r="AG67" s="29"/>
      <c r="AH67" s="29"/>
      <c r="AI67" s="32"/>
      <c r="AJ67" s="32"/>
      <c r="AK67" s="32">
        <v>3.25</v>
      </c>
      <c r="AL67" s="32">
        <f t="shared" si="17"/>
        <v>0.90500000000000003</v>
      </c>
      <c r="AM67" s="32">
        <v>56</v>
      </c>
      <c r="AN67" s="33">
        <f t="shared" si="4"/>
        <v>0.90500000000000003</v>
      </c>
      <c r="AO67" s="42"/>
      <c r="AP67" s="42"/>
      <c r="AQ67" s="29"/>
      <c r="AR67" s="29"/>
      <c r="AS67" s="32"/>
      <c r="AT67" s="32"/>
      <c r="AU67">
        <v>59</v>
      </c>
      <c r="AV67" s="64">
        <f>(AV$68-AV$63)/5+AV66</f>
        <v>2.1900000000000008</v>
      </c>
      <c r="AW67" s="32"/>
      <c r="AX67" s="33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</row>
    <row r="68" spans="2:70" s="40" customFormat="1" x14ac:dyDescent="0.25">
      <c r="B68" s="40">
        <f>IF((TAN(Q2*PI()/180)*((wide/2)-(16*38/12)))&gt;0,(TAN(Q2*PI()/180)*((wide/2)-(16*38/12))),0)</f>
        <v>0</v>
      </c>
      <c r="C68" s="41" t="s">
        <v>126</v>
      </c>
      <c r="N68" s="40">
        <f>IF((TAN(Q3*PI()/180)*(wide/2-(16*37/12)))&gt;0,(TAN(Q3*PI()/180)*(wide/2-(16*37/12))),0)</f>
        <v>0</v>
      </c>
      <c r="O68" s="41" t="s">
        <v>127</v>
      </c>
      <c r="Z68" s="41"/>
      <c r="AG68" s="29"/>
      <c r="AH68" s="29"/>
      <c r="AI68" s="32"/>
      <c r="AJ68" s="32"/>
      <c r="AK68" s="32">
        <v>3.3</v>
      </c>
      <c r="AL68" s="32">
        <f t="shared" si="17"/>
        <v>0.90400000000000003</v>
      </c>
      <c r="AM68" s="32">
        <v>57</v>
      </c>
      <c r="AN68" s="33">
        <f t="shared" si="4"/>
        <v>0.90400000000000003</v>
      </c>
      <c r="AO68" s="42"/>
      <c r="AP68" s="42"/>
      <c r="AQ68" s="29"/>
      <c r="AR68" s="29"/>
      <c r="AS68" s="32"/>
      <c r="AT68" s="32"/>
      <c r="AU68">
        <v>60</v>
      </c>
      <c r="AV68" s="32">
        <v>2.2200000000000002</v>
      </c>
      <c r="AW68" s="32"/>
      <c r="AX68" s="33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</row>
    <row r="69" spans="2:70" s="40" customFormat="1" x14ac:dyDescent="0.25">
      <c r="B69" s="40">
        <f>IF((TAN(Q2*PI()/180)*((wide/2)-(16*39/12)))&gt;0,(TAN(Q2*PI()/180)*((wide/2)-(16*39/12))),0)</f>
        <v>0</v>
      </c>
      <c r="C69" s="41" t="s">
        <v>128</v>
      </c>
      <c r="N69" s="40">
        <f>IF((TAN(Q3*PI()/180)*(wide/2-(16*38/12)))&gt;0,(TAN(Q3*PI()/180)*(wide/2-(16*38/12))),0)</f>
        <v>0</v>
      </c>
      <c r="O69" s="41" t="s">
        <v>129</v>
      </c>
      <c r="Z69" s="41"/>
      <c r="AG69" s="29"/>
      <c r="AH69" s="29"/>
      <c r="AI69" s="32"/>
      <c r="AJ69" s="32"/>
      <c r="AK69" s="32">
        <v>3.35</v>
      </c>
      <c r="AL69" s="32">
        <f t="shared" si="17"/>
        <v>0.90300000000000002</v>
      </c>
      <c r="AM69" s="32">
        <v>58</v>
      </c>
      <c r="AN69" s="33">
        <f t="shared" si="4"/>
        <v>0.90300000000000002</v>
      </c>
      <c r="AO69" s="42"/>
      <c r="AP69" s="42"/>
      <c r="AQ69" s="29"/>
      <c r="AR69" s="29"/>
      <c r="AS69" s="32"/>
      <c r="AT69" s="32"/>
      <c r="AU69">
        <v>61</v>
      </c>
      <c r="AV69" s="64">
        <f t="shared" ref="AV69:AV77" si="18">(AV$78-AV$68)/10+AV68</f>
        <v>2.2510000000000003</v>
      </c>
      <c r="AW69" s="32"/>
      <c r="AX69" s="33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</row>
    <row r="70" spans="2:70" s="40" customFormat="1" x14ac:dyDescent="0.25">
      <c r="B70" s="40">
        <f>IF((TAN(Q2*PI()/180)*((wide/2)-(16*40/12)))&gt;0,(TAN(Q2*PI()/180)*((wide/2)-(16*40/12))),0)</f>
        <v>0</v>
      </c>
      <c r="C70" s="41" t="s">
        <v>130</v>
      </c>
      <c r="N70" s="40">
        <f>IF((TAN(Q3*PI()/180)*(wide/2-(16*39/12)))&gt;0,(TAN(Q3*PI()/180)*(wide/2-(16*39/12))),0)</f>
        <v>0</v>
      </c>
      <c r="O70" s="41" t="s">
        <v>131</v>
      </c>
      <c r="Z70" s="41"/>
      <c r="AG70" s="29"/>
      <c r="AH70" s="29"/>
      <c r="AI70" s="32"/>
      <c r="AJ70" s="32"/>
      <c r="AK70" s="32">
        <v>3.4</v>
      </c>
      <c r="AL70" s="32">
        <f t="shared" si="17"/>
        <v>0.90200000000000002</v>
      </c>
      <c r="AM70" s="32">
        <v>59</v>
      </c>
      <c r="AN70" s="33">
        <f t="shared" si="4"/>
        <v>0.90200000000000002</v>
      </c>
      <c r="AO70" s="42"/>
      <c r="AP70" s="42"/>
      <c r="AQ70" s="29"/>
      <c r="AR70" s="29"/>
      <c r="AS70" s="32"/>
      <c r="AT70" s="32"/>
      <c r="AU70">
        <v>62</v>
      </c>
      <c r="AV70" s="64">
        <f t="shared" si="18"/>
        <v>2.2820000000000005</v>
      </c>
      <c r="AW70" s="32"/>
      <c r="AX70" s="33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</row>
    <row r="71" spans="2:70" s="40" customFormat="1" x14ac:dyDescent="0.25">
      <c r="B71" s="40">
        <f>IF((TAN(Q2*PI()/180)*((wide/2)-(16*41/12)))&gt;0,(TAN(Q2*PI()/180)*((wide/2)-(16*41/12))),0)</f>
        <v>0</v>
      </c>
      <c r="C71" s="41" t="s">
        <v>132</v>
      </c>
      <c r="N71" s="40">
        <f>IF((TAN(Q3*PI()/180)*(wide/2-(16*40/12)))&gt;0,(TAN(Q3*PI()/180)*(wide/2-(16*40/12))),0)</f>
        <v>0</v>
      </c>
      <c r="O71" s="41" t="s">
        <v>133</v>
      </c>
      <c r="Z71" s="41"/>
      <c r="AG71" s="29"/>
      <c r="AH71" s="29"/>
      <c r="AI71" s="32"/>
      <c r="AJ71" s="32"/>
      <c r="AK71" s="32">
        <v>3.45</v>
      </c>
      <c r="AL71" s="32">
        <f t="shared" si="17"/>
        <v>0.90100000000000002</v>
      </c>
      <c r="AM71" s="32">
        <v>60</v>
      </c>
      <c r="AN71" s="33">
        <f t="shared" si="4"/>
        <v>0.90100000000000002</v>
      </c>
      <c r="AO71" s="42"/>
      <c r="AP71" s="42"/>
      <c r="AQ71" s="29"/>
      <c r="AR71" s="29"/>
      <c r="AS71" s="32"/>
      <c r="AT71" s="32"/>
      <c r="AU71">
        <v>63</v>
      </c>
      <c r="AV71" s="64">
        <f t="shared" si="18"/>
        <v>2.3130000000000006</v>
      </c>
      <c r="AW71" s="32"/>
      <c r="AX71" s="33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</row>
    <row r="72" spans="2:70" s="40" customFormat="1" x14ac:dyDescent="0.25">
      <c r="B72" s="40">
        <f>IF((TAN(Q2*PI()/180)*((wide/2)-(16*42/12)))&gt;0,(TAN(Q2*PI()/180)*((wide/2)-(16*42/12))),0)</f>
        <v>0</v>
      </c>
      <c r="C72" s="41" t="s">
        <v>134</v>
      </c>
      <c r="N72" s="40">
        <f>IF((TAN(Q3*PI()/180)*(wide/2-(16*41/12)))&gt;0,(TAN(Q3*PI()/180)*(wide/2-(16*41/12))),0)</f>
        <v>0</v>
      </c>
      <c r="O72" s="41" t="s">
        <v>135</v>
      </c>
      <c r="Z72" s="41"/>
      <c r="AG72" s="29"/>
      <c r="AH72" s="29"/>
      <c r="AI72" s="32"/>
      <c r="AJ72" s="32"/>
      <c r="AK72" s="32">
        <v>3.5</v>
      </c>
      <c r="AL72" s="32">
        <v>0.9</v>
      </c>
      <c r="AM72" s="32">
        <v>61</v>
      </c>
      <c r="AN72" s="33">
        <f t="shared" si="4"/>
        <v>0.9</v>
      </c>
      <c r="AO72" s="42"/>
      <c r="AP72" s="42"/>
      <c r="AQ72" s="29"/>
      <c r="AR72" s="29"/>
      <c r="AS72" s="32"/>
      <c r="AT72" s="32"/>
      <c r="AU72">
        <v>64</v>
      </c>
      <c r="AV72" s="64">
        <f t="shared" si="18"/>
        <v>2.3440000000000007</v>
      </c>
      <c r="AW72" s="32"/>
      <c r="AX72" s="33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</row>
    <row r="73" spans="2:70" s="40" customFormat="1" x14ac:dyDescent="0.25">
      <c r="B73" s="40">
        <f>IF((TAN(Q2*PI()/180)*((wide/2)-(16*43/12)))&gt;0,(TAN(Q2*PI()/180)*((wide/2)-(16*43/12))),0)</f>
        <v>0</v>
      </c>
      <c r="C73" s="41" t="s">
        <v>136</v>
      </c>
      <c r="N73" s="40">
        <f>IF((TAN(Q3*PI()/180)*(wide/2-(16*42/12)))&gt;0,(TAN(Q3*PI()/180)*(wide/2-(16*42/12))),0)</f>
        <v>0</v>
      </c>
      <c r="O73" s="41" t="s">
        <v>137</v>
      </c>
      <c r="Z73" s="41"/>
      <c r="AG73" s="29"/>
      <c r="AH73" s="29"/>
      <c r="AI73" s="32"/>
      <c r="AJ73" s="3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>
        <v>65</v>
      </c>
      <c r="AV73" s="64">
        <f t="shared" si="18"/>
        <v>2.3750000000000009</v>
      </c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</row>
    <row r="74" spans="2:70" s="40" customFormat="1" x14ac:dyDescent="0.25">
      <c r="B74" s="40">
        <f>IF((TAN(Q2*PI()/180)*((wide/2)-(16*44/12)))&gt;0,(TAN(Q2*PI()/180)*((wide/2)-(16*44/12))),0)</f>
        <v>0</v>
      </c>
      <c r="C74" s="41" t="s">
        <v>138</v>
      </c>
      <c r="N74" s="40">
        <f>IF((TAN(Q3*PI()/180)*(wide/2-(16*43/12)))&gt;0,(TAN(Q3*PI()/180)*(wide/2-(16*43/12))),0)</f>
        <v>0</v>
      </c>
      <c r="O74" s="41" t="s">
        <v>139</v>
      </c>
      <c r="Z74" s="41"/>
      <c r="AG74" s="29"/>
      <c r="AH74" s="29"/>
      <c r="AI74" s="32"/>
      <c r="AJ74" s="3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>
        <v>66</v>
      </c>
      <c r="AV74" s="64">
        <f t="shared" si="18"/>
        <v>2.406000000000001</v>
      </c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</row>
    <row r="75" spans="2:70" s="40" customFormat="1" x14ac:dyDescent="0.25">
      <c r="B75" s="40">
        <f>IF((TAN(Q2*PI()/180)*((wide/2)-(16*45/12)))&gt;0,(TAN(Q2*PI()/180)*((wide/2)-(16*45/12))),0)</f>
        <v>0</v>
      </c>
      <c r="C75" s="41" t="s">
        <v>140</v>
      </c>
      <c r="N75" s="40">
        <f>IF((TAN(Q3*PI()/180)*(wide/2-(16*44/12)))&gt;0,(TAN(Q3*PI()/180)*(wide/2-(16*44/12))),0)</f>
        <v>0</v>
      </c>
      <c r="O75" s="41" t="s">
        <v>141</v>
      </c>
      <c r="Z75" s="41"/>
      <c r="AG75" s="29"/>
      <c r="AH75" s="29"/>
      <c r="AI75" s="32"/>
      <c r="AJ75" s="3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>
        <v>67</v>
      </c>
      <c r="AV75" s="64">
        <f t="shared" si="18"/>
        <v>2.4370000000000012</v>
      </c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</row>
    <row r="76" spans="2:70" s="40" customFormat="1" x14ac:dyDescent="0.25">
      <c r="B76" s="40">
        <f>IF((TAN(Q2*PI()/180)*((wide/2)-(16*46/12)))&gt;0,(TAN(Q2*PI()/180)*((wide/2)-(16*46/12))),0)</f>
        <v>0</v>
      </c>
      <c r="C76" s="41" t="s">
        <v>142</v>
      </c>
      <c r="N76" s="40">
        <f>IF((TAN(Q3*PI()/180)*(wide/2-(16*45/12)))&gt;0,(TAN(Q3*PI()/180)*(wide/2-(16*45/12))),0)</f>
        <v>0</v>
      </c>
      <c r="O76" s="41" t="s">
        <v>143</v>
      </c>
      <c r="Z76" s="41"/>
      <c r="AG76" s="29"/>
      <c r="AH76" s="29"/>
      <c r="AI76" s="32"/>
      <c r="AJ76" s="3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>
        <v>68</v>
      </c>
      <c r="AV76" s="64">
        <f>(AV$78-AV$68)/10+AV75</f>
        <v>2.4680000000000013</v>
      </c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</row>
    <row r="77" spans="2:70" s="40" customFormat="1" x14ac:dyDescent="0.25">
      <c r="B77" s="40">
        <f>IF((TAN(Q2*PI()/180)*((wide/2)-(16*47/12)))&gt;0,(TAN(Q2*PI()/180)*((wide/2)-(16*47/12))),0)</f>
        <v>0</v>
      </c>
      <c r="C77" s="41" t="s">
        <v>144</v>
      </c>
      <c r="N77" s="40">
        <f>IF((TAN(Q3*PI()/180)*(wide/2-(16*46/12)))&gt;0,(TAN(Q3*PI()/180)*(wide/2-(16*46/12))),0)</f>
        <v>0</v>
      </c>
      <c r="O77" s="41" t="s">
        <v>145</v>
      </c>
      <c r="Z77" s="41"/>
      <c r="AG77" s="29"/>
      <c r="AH77" s="29"/>
      <c r="AI77" s="32"/>
      <c r="AJ77" s="3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>
        <v>69</v>
      </c>
      <c r="AV77" s="64">
        <f t="shared" si="18"/>
        <v>2.4990000000000014</v>
      </c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</row>
    <row r="78" spans="2:70" s="40" customFormat="1" x14ac:dyDescent="0.25">
      <c r="B78" s="40">
        <f>IF((TAN(Q2*PI()/180)*((wide/2)-(16*48/12)))&gt;0,(TAN(Q2*PI()/180)*((wide/2)-(16*48/12))),0)</f>
        <v>0</v>
      </c>
      <c r="C78" s="41" t="s">
        <v>146</v>
      </c>
      <c r="N78" s="40">
        <f>IF((TAN(Q3*PI()/180)*(wide/2-(16*47/12)))&gt;0,(TAN(Q3*PI()/180)*(wide/2-(16*47/12))),0)</f>
        <v>0</v>
      </c>
      <c r="O78" s="41" t="s">
        <v>147</v>
      </c>
      <c r="Z78" s="41"/>
      <c r="AG78" s="29"/>
      <c r="AH78" s="29"/>
      <c r="AI78" s="32"/>
      <c r="AJ78" s="3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>
        <v>70</v>
      </c>
      <c r="AV78" s="42">
        <v>2.5299999999999998</v>
      </c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</row>
    <row r="79" spans="2:70" s="40" customFormat="1" x14ac:dyDescent="0.25">
      <c r="B79" s="40">
        <f>IF((TAN(Q2*PI()/180)*((wide/2)-(16*49/12)))&gt;0,(TAN(Q2*PI()/180)*((wide/2)-(16*49/12))),0)</f>
        <v>0</v>
      </c>
      <c r="C79" s="41" t="s">
        <v>148</v>
      </c>
      <c r="N79" s="40">
        <f>IF((TAN(Q3*PI()/180)*(wide/2-(16*48/12)))&gt;0,(TAN(Q3*PI()/180)*(wide/2-(16*48/12))),0)</f>
        <v>0</v>
      </c>
      <c r="O79" s="41" t="s">
        <v>149</v>
      </c>
      <c r="Z79" s="41"/>
      <c r="AG79" s="29"/>
      <c r="AH79" s="29"/>
      <c r="AI79" s="32"/>
      <c r="AJ79" s="3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>
        <v>71</v>
      </c>
      <c r="AV79" s="64">
        <f t="shared" ref="AV79:AV87" si="19">(AV$88-AV$78)/10+AV78</f>
        <v>2.5612999999999997</v>
      </c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</row>
    <row r="80" spans="2:70" s="40" customFormat="1" x14ac:dyDescent="0.25">
      <c r="B80" s="40">
        <f>IF((TAN(Q2*PI()/180)*((wide/2)-(16*50/12)))&gt;0,(TAN(Q2*PI()/180)*((wide/2)-(16*50/12))),0)</f>
        <v>0</v>
      </c>
      <c r="C80" s="41" t="s">
        <v>150</v>
      </c>
      <c r="N80" s="40">
        <f>IF((TAN(Q3*PI()/180)*(wide/2-(16*49/12)))&gt;0,(TAN(Q3*PI()/180)*(wide/2-(16*49/12))),0)</f>
        <v>0</v>
      </c>
      <c r="O80" s="41" t="s">
        <v>151</v>
      </c>
      <c r="Z80" s="41"/>
      <c r="AG80" s="29"/>
      <c r="AH80" s="29"/>
      <c r="AI80" s="32"/>
      <c r="AJ80" s="3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>
        <v>72</v>
      </c>
      <c r="AV80" s="64">
        <f t="shared" si="19"/>
        <v>2.5925999999999996</v>
      </c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</row>
    <row r="81" spans="2:70" s="40" customFormat="1" x14ac:dyDescent="0.25">
      <c r="B81" s="40">
        <f>IF((TAN(Q2*PI()/180)*((wide/2)-(16*51/12)))&gt;0,(TAN(Q2*PI()/180)*((wide/2)-(16*51/12))),0)</f>
        <v>0</v>
      </c>
      <c r="C81" s="41" t="s">
        <v>152</v>
      </c>
      <c r="N81" s="40">
        <f>IF((TAN(Q3*PI()/180)*(wide/2-(16*50/12)))&gt;0,(TAN(Q3*PI()/180)*(wide/2-(16*50/12))),0)</f>
        <v>0</v>
      </c>
      <c r="O81" s="41" t="s">
        <v>153</v>
      </c>
      <c r="Z81" s="41"/>
      <c r="AG81" s="29"/>
      <c r="AH81" s="29"/>
      <c r="AI81" s="32"/>
      <c r="AJ81" s="3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>
        <v>73</v>
      </c>
      <c r="AV81" s="64">
        <f t="shared" si="19"/>
        <v>2.6238999999999995</v>
      </c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</row>
    <row r="82" spans="2:70" s="40" customFormat="1" x14ac:dyDescent="0.25">
      <c r="B82" s="40">
        <f>IF((TAN(Q2*PI()/180)*((wide/2)-(16*52/12)))&gt;0,(TAN(Q2*PI()/180)*((wide/2)-(16*52/12))),0)</f>
        <v>0</v>
      </c>
      <c r="C82" s="41" t="s">
        <v>154</v>
      </c>
      <c r="N82" s="40">
        <f>IF((TAN(Q3*PI()/180)*(wide/2-(16*51/12)))&gt;0,(TAN(Q3*PI()/180)*(wide/2-(16*51/12))),0)</f>
        <v>0</v>
      </c>
      <c r="O82" s="41" t="s">
        <v>155</v>
      </c>
      <c r="Z82" s="41"/>
      <c r="AG82" s="29"/>
      <c r="AH82" s="29"/>
      <c r="AI82" s="32"/>
      <c r="AJ82" s="3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>
        <v>74</v>
      </c>
      <c r="AV82" s="64">
        <f t="shared" si="19"/>
        <v>2.6551999999999993</v>
      </c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</row>
    <row r="83" spans="2:70" s="40" customFormat="1" x14ac:dyDescent="0.25">
      <c r="B83" s="40">
        <f>IF((TAN(Q2*PI()/180)*((wide/2)-(16*53/12)))&gt;0,(TAN(Q2*PI()/180)*((wide/2)-(16*53/12))),0)</f>
        <v>0</v>
      </c>
      <c r="C83" s="41" t="s">
        <v>156</v>
      </c>
      <c r="N83" s="40">
        <f>IF((TAN(Q3*PI()/180)*(wide/2-(16*52/12)))&gt;0,(TAN(Q3*PI()/180)*(wide/2-(16*52/12))),0)</f>
        <v>0</v>
      </c>
      <c r="O83" s="41" t="s">
        <v>157</v>
      </c>
      <c r="Z83" s="41"/>
      <c r="AG83" s="29"/>
      <c r="AH83" s="29"/>
      <c r="AI83" s="32"/>
      <c r="AJ83" s="3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>
        <v>75</v>
      </c>
      <c r="AV83" s="64">
        <f t="shared" si="19"/>
        <v>2.6864999999999992</v>
      </c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</row>
    <row r="84" spans="2:70" s="40" customFormat="1" x14ac:dyDescent="0.25">
      <c r="B84" s="40">
        <f>IF((TAN(Q2*PI()/180)*((wide/2)-(16*54/12)))&gt;0,(TAN(Q2*PI()/180)*((wide/2)-(16*54/12))),0)</f>
        <v>0</v>
      </c>
      <c r="C84" s="41" t="s">
        <v>158</v>
      </c>
      <c r="N84" s="40">
        <f>IF((TAN(Q3*PI()/180)*(wide/2-(16*53/12)))&gt;0,(TAN(Q3*PI()/180)*(wide/2-(16*53/12))),0)</f>
        <v>0</v>
      </c>
      <c r="O84" s="41" t="s">
        <v>159</v>
      </c>
      <c r="Z84" s="41"/>
      <c r="AG84" s="29"/>
      <c r="AH84" s="29"/>
      <c r="AI84" s="32"/>
      <c r="AJ84" s="3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>
        <v>76</v>
      </c>
      <c r="AV84" s="64">
        <f t="shared" si="19"/>
        <v>2.7177999999999991</v>
      </c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</row>
    <row r="85" spans="2:70" s="40" customFormat="1" x14ac:dyDescent="0.25">
      <c r="B85" s="40">
        <f>IF((TAN(Q2*PI()/180)*((wide/2)-(16*55/12)))&gt;0,(TAN(Q2*PI()/180)*((wide/2)-(16*55/12))),0)</f>
        <v>0</v>
      </c>
      <c r="C85" s="41" t="s">
        <v>160</v>
      </c>
      <c r="N85" s="40">
        <f>IF((TAN(Q3*PI()/180)*(wide/2-(16*54/12)))&gt;0,(TAN(Q3*PI()/180)*(wide/2-(16*54/12))),0)</f>
        <v>0</v>
      </c>
      <c r="O85" s="41" t="s">
        <v>161</v>
      </c>
      <c r="Z85" s="41"/>
      <c r="AG85" s="29"/>
      <c r="AH85" s="29"/>
      <c r="AI85" s="32"/>
      <c r="AJ85" s="3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>
        <v>77</v>
      </c>
      <c r="AV85" s="64">
        <f t="shared" si="19"/>
        <v>2.749099999999999</v>
      </c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</row>
    <row r="86" spans="2:70" s="40" customFormat="1" x14ac:dyDescent="0.25">
      <c r="B86" s="40">
        <f>IF((TAN(Q2*PI()/180)*((wide/2)-(16*56/12)))&gt;0,(TAN(Q2*PI()/180)*((wide/2)-(16*56/12))),0)</f>
        <v>0</v>
      </c>
      <c r="C86" s="41" t="s">
        <v>162</v>
      </c>
      <c r="N86" s="40">
        <f>IF((TAN(Q3*PI()/180)*(wide/2-(16*55/12)))&gt;0,(TAN(Q3*PI()/180)*(wide/2-(16*55/12))),0)</f>
        <v>0</v>
      </c>
      <c r="O86" s="41" t="s">
        <v>163</v>
      </c>
      <c r="Z86" s="41"/>
      <c r="AG86" s="29"/>
      <c r="AH86" s="29"/>
      <c r="AI86" s="32"/>
      <c r="AJ86" s="3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>
        <v>78</v>
      </c>
      <c r="AV86" s="64">
        <f>(AV$88-AV$78)/10+AV85</f>
        <v>2.7803999999999989</v>
      </c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</row>
    <row r="87" spans="2:70" s="40" customFormat="1" x14ac:dyDescent="0.25">
      <c r="B87" s="40">
        <f>IF((TAN(Q2*PI()/180)*((wide/2)-(16*57/12)))&gt;0,(TAN(Q2*PI()/180)*((wide/2)-(16*57/12))),0)</f>
        <v>0</v>
      </c>
      <c r="C87" s="41" t="s">
        <v>164</v>
      </c>
      <c r="N87" s="40">
        <f>IF((TAN(Q3*PI()/180)*(wide/2-(16*56/12)))&gt;0,(TAN(Q3*PI()/180)*(wide/2-(16*56/12))),0)</f>
        <v>0</v>
      </c>
      <c r="O87" s="41" t="s">
        <v>165</v>
      </c>
      <c r="Z87" s="41"/>
      <c r="AG87" s="29"/>
      <c r="AH87" s="29"/>
      <c r="AI87" s="32"/>
      <c r="AJ87" s="3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>
        <v>79</v>
      </c>
      <c r="AV87" s="64">
        <f t="shared" si="19"/>
        <v>2.8116999999999988</v>
      </c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</row>
    <row r="88" spans="2:70" s="40" customFormat="1" x14ac:dyDescent="0.25">
      <c r="B88" s="40">
        <f>IF((TAN(Q2*PI()/180)*((wide/2)-(16*58/12)))&gt;0,(TAN(Q2*PI()/180)*((wide/2)-(16*58/12))),0)</f>
        <v>0</v>
      </c>
      <c r="C88" s="41" t="s">
        <v>166</v>
      </c>
      <c r="N88" s="40">
        <f>IF((TAN(Q3*PI()/180)*(wide/2-(16*57/12)))&gt;0,(TAN(Q3*PI()/180)*(wide/2-(16*57/12))),0)</f>
        <v>0</v>
      </c>
      <c r="O88" s="41" t="s">
        <v>167</v>
      </c>
      <c r="Z88" s="41"/>
      <c r="AG88" s="29"/>
      <c r="AH88" s="29"/>
      <c r="AI88" s="32"/>
      <c r="AJ88" s="3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>
        <v>80</v>
      </c>
      <c r="AV88" s="42">
        <v>2.843</v>
      </c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</row>
    <row r="89" spans="2:70" s="40" customFormat="1" x14ac:dyDescent="0.25">
      <c r="B89" s="40">
        <f>IF((TAN(Q2*PI()/180)*((wide/2)-(16*59/12)))&gt;0,(TAN(Q2*PI()/180)*((wide/2)-(16*59/12))),0)</f>
        <v>0</v>
      </c>
      <c r="C89" s="41" t="s">
        <v>168</v>
      </c>
      <c r="N89" s="40">
        <f>IF((TAN(Q3*PI()/180)*(wide/2-(16*58/12)))&gt;0,(TAN(Q3*PI()/180)*(wide/2-(16*58/12))),0)</f>
        <v>0</v>
      </c>
      <c r="O89" s="41" t="s">
        <v>169</v>
      </c>
      <c r="Z89" s="41"/>
      <c r="AG89" s="29"/>
      <c r="AH89" s="29"/>
      <c r="AI89" s="32"/>
      <c r="AJ89" s="3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</row>
    <row r="90" spans="2:70" s="40" customFormat="1" x14ac:dyDescent="0.25">
      <c r="B90" s="40">
        <f>IF((TAN(Q2*PI()/180)*((wide/2)-(16*60/12)))&gt;0,(TAN(Q2*PI()/180)*((wide/2)-(16*60/12))),0)</f>
        <v>0</v>
      </c>
      <c r="C90" s="41" t="s">
        <v>170</v>
      </c>
      <c r="N90" s="40">
        <f>IF((TAN(Q3*PI()/180)*(wide/2-(16*59/12)))&gt;0,(TAN(Q3*PI()/180)*(wide/2-(16*59/12))),0)</f>
        <v>0</v>
      </c>
      <c r="O90" s="41" t="s">
        <v>171</v>
      </c>
      <c r="Z90" s="41"/>
      <c r="AG90" s="29"/>
      <c r="AH90" s="29"/>
      <c r="AI90" s="32"/>
      <c r="AJ90" s="3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</row>
    <row r="91" spans="2:70" s="40" customFormat="1" x14ac:dyDescent="0.25">
      <c r="B91" s="40">
        <f>IF((TAN(Q2*PI()/180)*((wide/2)-(16*61/12)))&gt;0,(TAN(Q2*PI()/180)*((wide/2)-(16*61/12))),0)</f>
        <v>0</v>
      </c>
      <c r="C91" s="41" t="s">
        <v>172</v>
      </c>
      <c r="N91" s="40">
        <f>IF((TAN(Q3*PI()/180)*(wide/2-(16*60/12)))&gt;0,(TAN(Q3*PI()/180)*(wide/2-(16*60/12))),0)</f>
        <v>0</v>
      </c>
      <c r="O91" s="41" t="s">
        <v>173</v>
      </c>
      <c r="Z91" s="41"/>
      <c r="AG91" s="29"/>
      <c r="AH91" s="29"/>
      <c r="AI91" s="32"/>
      <c r="AJ91" s="32"/>
      <c r="AK91" s="32"/>
      <c r="AL91" s="32"/>
      <c r="AM91" s="32"/>
      <c r="AN91" s="3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</row>
    <row r="92" spans="2:70" s="40" customFormat="1" x14ac:dyDescent="0.25">
      <c r="B92" s="40">
        <f>IF((TAN(Q2*PI()/180)*((wide/2)-(16*62/12)))&gt;0,(TAN(Q2*PI()/180)*((wide/2)-(16*62/12))),0)</f>
        <v>0</v>
      </c>
      <c r="C92" s="41" t="s">
        <v>174</v>
      </c>
      <c r="N92" s="40">
        <f>IF((TAN(Q3*PI()/180)*(wide/2-(16*61/12)))&gt;0,(TAN(Q3*PI()/180)*(wide/2-(16*61/12))),0)</f>
        <v>0</v>
      </c>
      <c r="O92" s="41" t="s">
        <v>175</v>
      </c>
      <c r="Z92" s="41"/>
      <c r="AG92" s="29"/>
      <c r="AH92" s="29"/>
      <c r="AI92" s="32"/>
      <c r="AJ92" s="32"/>
      <c r="AK92" s="29"/>
      <c r="AL92" s="29"/>
      <c r="AM92" s="29"/>
      <c r="AN92" s="29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</row>
    <row r="93" spans="2:70" s="40" customFormat="1" x14ac:dyDescent="0.25">
      <c r="B93" s="40">
        <f>IF((TAN(Q2*PI()/180)*((wide/2)-(16*63/12)))&gt;0,(TAN(Q2*PI()/180)*((wide/2)-(16*63/12))),0)</f>
        <v>0</v>
      </c>
      <c r="C93" s="41" t="s">
        <v>176</v>
      </c>
      <c r="N93" s="40">
        <f>IF((TAN(Q3*PI()/180)*(wide/2-(16*62/12)))&gt;0,(TAN(Q3*PI()/180)*(wide/2-(16*62/12))),0)</f>
        <v>0</v>
      </c>
      <c r="O93" s="41" t="s">
        <v>177</v>
      </c>
      <c r="Z93" s="41"/>
      <c r="AG93" s="29"/>
      <c r="AH93" s="29"/>
      <c r="AI93" s="32"/>
      <c r="AJ93" s="32"/>
      <c r="AK93" s="29"/>
      <c r="AL93" s="29"/>
      <c r="AM93" s="29"/>
      <c r="AN93" s="29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</row>
    <row r="94" spans="2:70" s="40" customFormat="1" x14ac:dyDescent="0.25">
      <c r="B94" s="40">
        <f>IF((TAN(Q2*PI()/180)*((wide/2)-(16*64/12)))&gt;0,(TAN(Q2*PI()/180)*((wide/2)-(16*64/12))),0)</f>
        <v>0</v>
      </c>
      <c r="C94" s="41" t="s">
        <v>178</v>
      </c>
      <c r="N94" s="40">
        <f>IF((TAN(Q3*PI()/180)*(wide/2-(16*63/12)))&gt;0,(TAN(Q3*PI()/180)*(wide/2-(16*63/12))),0)</f>
        <v>0</v>
      </c>
      <c r="O94" s="41" t="s">
        <v>179</v>
      </c>
      <c r="Z94" s="41"/>
      <c r="AG94" s="29"/>
      <c r="AH94" s="29"/>
      <c r="AI94" s="29"/>
      <c r="AJ94" s="29"/>
      <c r="AK94" s="32"/>
      <c r="AL94" s="32"/>
      <c r="AM94"/>
      <c r="AN94" s="69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</row>
    <row r="95" spans="2:70" s="40" customFormat="1" x14ac:dyDescent="0.25">
      <c r="B95" s="40">
        <f>IF((TAN(Q2*PI()/180)*((wide/2)-(16*65/12)))&gt;0,(TAN(Q2*PI()/180)*((wide/2)-(16*65/12))),0)</f>
        <v>0</v>
      </c>
      <c r="C95" s="41" t="s">
        <v>180</v>
      </c>
      <c r="N95" s="40">
        <f>IF((TAN(Q3*PI()/180)*(wide/2-(16*64/12)))&gt;0,(TAN(Q3*PI()/180)*(wide/2-(16*64/12))),0)</f>
        <v>0</v>
      </c>
      <c r="O95" s="41" t="s">
        <v>181</v>
      </c>
      <c r="Z95" s="41"/>
      <c r="AG95" s="29"/>
      <c r="AH95" s="29"/>
      <c r="AI95" s="29"/>
      <c r="AJ95" s="29"/>
      <c r="AK95" s="29"/>
      <c r="AL95" s="29"/>
      <c r="AM95"/>
      <c r="AN95" s="69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</row>
    <row r="96" spans="2:70" s="40" customFormat="1" x14ac:dyDescent="0.25">
      <c r="B96" s="40">
        <f>IF((TAN(Q2*PI()/180)*((wide/2)-(16*66/12)))&gt;0,(TAN(Q2*PI()/180)*((wide/2)-(16*66/12))),0)</f>
        <v>0</v>
      </c>
      <c r="C96" s="41" t="s">
        <v>182</v>
      </c>
      <c r="N96" s="40">
        <f>IF((TAN(Q3*PI()/180)*(wide/2-(16*65/12)))&gt;0,(TAN(Q3*PI()/180)*(wide/2-(16*65/12))),0)</f>
        <v>0</v>
      </c>
      <c r="O96" s="41" t="s">
        <v>183</v>
      </c>
      <c r="Z96" s="41"/>
      <c r="AG96" s="32"/>
      <c r="AH96" s="32"/>
      <c r="AI96" s="32"/>
      <c r="AJ96" s="32"/>
      <c r="AK96" s="29"/>
      <c r="AL96" s="29"/>
      <c r="AM96"/>
      <c r="AN96" s="69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</row>
    <row r="97" spans="2:70" s="40" customFormat="1" x14ac:dyDescent="0.25">
      <c r="B97" s="40">
        <f>IF((TAN(Q2*PI()/180)*((wide/2)-(16*67/12)))&gt;0,(TAN(Q2*PI()/180)*((wide/2)-(16*67/12))),0)</f>
        <v>0</v>
      </c>
      <c r="C97" s="41" t="s">
        <v>184</v>
      </c>
      <c r="N97" s="40">
        <f>IF((TAN(Q3*PI()/180)*(wide/2-(16*66/12)))&gt;0,(TAN(Q3*PI()/180)*(wide/2-(16*66/12))),0)</f>
        <v>0</v>
      </c>
      <c r="O97" s="41" t="s">
        <v>185</v>
      </c>
      <c r="Z97" s="41"/>
      <c r="AG97" s="29"/>
      <c r="AH97" s="29"/>
      <c r="AI97" s="29"/>
      <c r="AJ97" s="29"/>
      <c r="AK97" s="29"/>
      <c r="AL97" s="29"/>
      <c r="AM97"/>
      <c r="AN97" s="69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</row>
    <row r="98" spans="2:70" s="40" customFormat="1" x14ac:dyDescent="0.25">
      <c r="B98" s="40">
        <f>IF((TAN(Q2*PI()/180)*((wide/2)-(16*68/12)))&gt;0,(TAN(Q2*PI()/180)*((wide/2)-(16*68/12))),0)</f>
        <v>0</v>
      </c>
      <c r="C98" s="41" t="s">
        <v>186</v>
      </c>
      <c r="N98" s="40">
        <f>IF((TAN(Q3*PI()/180)*(wide/2-(16*67/12)))&gt;0,(TAN(Q3*PI()/180)*(wide/2-(16*67/12))),0)</f>
        <v>0</v>
      </c>
      <c r="O98" s="41" t="s">
        <v>187</v>
      </c>
      <c r="Z98" s="41"/>
      <c r="AG98" s="29"/>
      <c r="AH98" s="29"/>
      <c r="AI98" s="29"/>
      <c r="AJ98" s="29"/>
      <c r="AK98" s="29"/>
      <c r="AL98" s="29"/>
      <c r="AM98"/>
      <c r="AN98" s="69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</row>
    <row r="99" spans="2:70" s="40" customFormat="1" x14ac:dyDescent="0.25">
      <c r="B99" s="40">
        <f>IF((TAN(Q2*PI()/180)*((wide/2)-(16*69/12)))&gt;0,(TAN(Q2*PI()/180)*((wide/2)-(16*69/12))),0)</f>
        <v>0</v>
      </c>
      <c r="C99" s="41" t="s">
        <v>188</v>
      </c>
      <c r="N99" s="40">
        <f>IF((TAN(Q3*PI()/180)*(wide/2-(16*68/12)))&gt;0,(TAN(Q3*PI()/180)*(wide/2-(16*68/12))),0)</f>
        <v>0</v>
      </c>
      <c r="O99" s="41" t="s">
        <v>189</v>
      </c>
      <c r="Z99" s="41"/>
      <c r="AG99" s="29"/>
      <c r="AH99" s="29"/>
      <c r="AI99" s="29"/>
      <c r="AJ99" s="29"/>
      <c r="AK99" s="29"/>
      <c r="AL99" s="29"/>
      <c r="AM99"/>
      <c r="AN99" s="69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</row>
    <row r="100" spans="2:70" s="40" customFormat="1" x14ac:dyDescent="0.25">
      <c r="B100" s="40">
        <f>IF((TAN(Q2*PI()/180)*((wide/2)-(16*70/12)))&gt;0,(TAN(Q2*PI()/180)*((wide/2)-(16*70/12))),0)</f>
        <v>0</v>
      </c>
      <c r="C100" s="41" t="s">
        <v>190</v>
      </c>
      <c r="N100" s="40">
        <f>IF((TAN(Q3*PI()/180)*(wide/2-(16*69/12)))&gt;0,(TAN(Q3*PI()/180)*(wide/2-(16*69/12))),0)</f>
        <v>0</v>
      </c>
      <c r="O100" s="41" t="s">
        <v>191</v>
      </c>
      <c r="Z100" s="41"/>
      <c r="AG100" s="29"/>
      <c r="AH100" s="29"/>
      <c r="AI100" s="29"/>
      <c r="AJ100" s="29"/>
      <c r="AK100" s="29"/>
      <c r="AL100" s="29"/>
      <c r="AM100"/>
      <c r="AN100" s="69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</row>
    <row r="101" spans="2:70" s="40" customFormat="1" x14ac:dyDescent="0.25">
      <c r="B101" s="40">
        <f>IF((TAN(Q2*PI()/180)*((wide/2)-(16*71/12)))&gt;0,(TAN(Q2*PI()/180)*((wide/2)-(16*71/12))),0)</f>
        <v>0</v>
      </c>
      <c r="C101" s="41" t="s">
        <v>192</v>
      </c>
      <c r="N101" s="40">
        <f>IF((TAN(Q3*PI()/180)*(wide/2-(16*70/12)))&gt;0,(TAN(Q3*PI()/180)*(wide/2-(16*70/12))),0)</f>
        <v>0</v>
      </c>
      <c r="O101" s="41" t="s">
        <v>193</v>
      </c>
      <c r="Z101" s="41"/>
      <c r="AG101" s="29"/>
      <c r="AH101" s="29"/>
      <c r="AI101" s="29"/>
      <c r="AJ101" s="29"/>
      <c r="AK101" s="29"/>
      <c r="AL101" s="29"/>
      <c r="AM101"/>
      <c r="AN101" s="69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</row>
    <row r="102" spans="2:70" s="40" customFormat="1" x14ac:dyDescent="0.25">
      <c r="B102" s="40">
        <f>IF((TAN(Q2*PI()/180)*((wide/2)-(16*72/12)))&gt;0,(TAN(Q2*PI()/180)*((wide/2)-(16*72/12))),0)</f>
        <v>0</v>
      </c>
      <c r="C102" s="41" t="s">
        <v>194</v>
      </c>
      <c r="N102" s="40">
        <f>IF((TAN(Q3*PI()/180)*(wide/2-(16*71/12)))&gt;0,(TAN(Q3*PI()/180)*(wide/2-(16*71/12))),0)</f>
        <v>0</v>
      </c>
      <c r="O102" s="41" t="s">
        <v>195</v>
      </c>
      <c r="Z102" s="41"/>
      <c r="AG102" s="29"/>
      <c r="AH102" s="29"/>
      <c r="AI102" s="29"/>
      <c r="AJ102" s="29"/>
      <c r="AK102" s="29"/>
      <c r="AL102" s="29"/>
      <c r="AM102"/>
      <c r="AN102" s="69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</row>
    <row r="103" spans="2:70" s="40" customFormat="1" x14ac:dyDescent="0.25">
      <c r="B103" s="40">
        <f>IF((TAN(Q2*PI()/180)*((wide/2)-(16*73/12)))&gt;0,(TAN(Q2*PI()/180)*((wide/2)-(16*73/12))),0)</f>
        <v>0</v>
      </c>
      <c r="C103" s="41" t="s">
        <v>196</v>
      </c>
      <c r="N103" s="40">
        <f>IF((TAN(Q3*PI()/180)*(wide/2-(16*72/12)))&gt;0,(TAN(Q3*PI()/180)*(wide/2-(16*72/12))),0)</f>
        <v>0</v>
      </c>
      <c r="O103" s="41" t="s">
        <v>197</v>
      </c>
      <c r="Z103" s="41"/>
      <c r="AG103" s="29"/>
      <c r="AH103" s="29"/>
      <c r="AI103" s="29"/>
      <c r="AJ103" s="29"/>
      <c r="AK103" s="29"/>
      <c r="AL103" s="29"/>
      <c r="AM103"/>
      <c r="AN103" s="69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</row>
    <row r="104" spans="2:70" s="40" customFormat="1" x14ac:dyDescent="0.25">
      <c r="B104" s="40">
        <f>IF((TAN(Q2*PI()/180)*((wide/2)-(16*74/12)))&gt;0,(TAN(Q2*PI()/180)*((wide/2)-(16*74/12))),0)</f>
        <v>0</v>
      </c>
      <c r="C104" s="41" t="s">
        <v>198</v>
      </c>
      <c r="N104" s="40">
        <f>IF((TAN(Q3*PI()/180)*(wide/2-(16*73/12)))&gt;0,(TAN(Q3*PI()/180)*(wide/2-(16*73/12))),0)</f>
        <v>0</v>
      </c>
      <c r="O104" s="41" t="s">
        <v>199</v>
      </c>
      <c r="Z104" s="41"/>
      <c r="AG104" s="29"/>
      <c r="AH104" s="29"/>
      <c r="AI104" s="29"/>
      <c r="AJ104" s="29"/>
      <c r="AK104" s="29"/>
      <c r="AL104" s="29"/>
      <c r="AM104"/>
      <c r="AN104" s="69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</row>
    <row r="105" spans="2:70" s="40" customFormat="1" x14ac:dyDescent="0.25">
      <c r="B105" s="40">
        <f>IF((TAN(Q2*PI()/180)*((wide/2)-(16*75/12)))&gt;0,(TAN(Q2*PI()/180)*((wide/2)-(16*75/12))),0)</f>
        <v>0</v>
      </c>
      <c r="C105" s="41" t="s">
        <v>200</v>
      </c>
      <c r="N105" s="40">
        <f>IF((TAN(Q3*PI()/180)*(wide/2-(16*74/12)))&gt;0,(TAN(Q3*PI()/180)*(wide/2-(16*74/12))),0)</f>
        <v>0</v>
      </c>
      <c r="O105" s="41" t="s">
        <v>201</v>
      </c>
      <c r="Z105" s="41"/>
      <c r="AG105" s="29"/>
      <c r="AH105" s="29"/>
      <c r="AI105" s="29"/>
      <c r="AJ105" s="29"/>
      <c r="AK105" s="29"/>
      <c r="AL105" s="29"/>
      <c r="AM105"/>
      <c r="AN105" s="69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</row>
    <row r="106" spans="2:70" s="40" customFormat="1" x14ac:dyDescent="0.25">
      <c r="B106" s="40">
        <f>IF((TAN(Q2*PI()/180)*((wide/2)-(16*76/12)))&gt;0,(TAN(Q2*PI()/180)*((wide/2)-(16*76/12))),0)</f>
        <v>0</v>
      </c>
      <c r="C106" s="41" t="s">
        <v>202</v>
      </c>
      <c r="N106" s="40">
        <f>IF((TAN(Q3*PI()/180)*(wide/2-(16*75/12)))&gt;0,(TAN(Q3*PI()/180)*(wide/2-(16*75/12))),0)</f>
        <v>0</v>
      </c>
      <c r="O106" s="41" t="s">
        <v>203</v>
      </c>
      <c r="Z106" s="41"/>
      <c r="AG106" s="29"/>
      <c r="AH106" s="29"/>
      <c r="AI106" s="29"/>
      <c r="AJ106" s="29"/>
      <c r="AK106" s="29"/>
      <c r="AL106" s="29"/>
      <c r="AM106"/>
      <c r="AN106" s="69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</row>
    <row r="107" spans="2:70" s="40" customFormat="1" x14ac:dyDescent="0.25">
      <c r="B107" s="40">
        <f>IF((TAN(Q2*PI()/180)*((wide/2)-(16*77/12)))&gt;0,(TAN(Q2*PI()/180)*((wide/2)-(16*77/12))),0)</f>
        <v>0</v>
      </c>
      <c r="C107" s="41" t="s">
        <v>204</v>
      </c>
      <c r="N107" s="40">
        <f>IF((TAN(Q3*PI()/180)*(wide/2-(16*76/12)))&gt;0,(TAN(Q3*PI()/180)*(wide/2-(16*76/12))),0)</f>
        <v>0</v>
      </c>
      <c r="O107" s="41" t="s">
        <v>205</v>
      </c>
      <c r="Z107" s="41"/>
      <c r="AG107" s="29"/>
      <c r="AH107" s="29"/>
      <c r="AI107" s="29"/>
      <c r="AJ107" s="29"/>
      <c r="AK107" s="32"/>
      <c r="AL107" s="32"/>
      <c r="AM107"/>
      <c r="AN107" s="69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</row>
    <row r="108" spans="2:70" s="40" customFormat="1" x14ac:dyDescent="0.25">
      <c r="B108" s="40">
        <f>IF((TAN(Q2*PI()/180)*((wide/2)-(16*78/12)))&gt;0,(TAN(Q2*PI()/180)*((wide/2)-(16*78/12))),0)</f>
        <v>0</v>
      </c>
      <c r="C108" s="41" t="s">
        <v>206</v>
      </c>
      <c r="N108" s="40">
        <f>IF((TAN(Q3*PI()/180)*(wide/2-(16*77/12)))&gt;0,(TAN(Q3*PI()/180)*(wide/2-(16*77/12))),0)</f>
        <v>0</v>
      </c>
      <c r="O108" s="41" t="s">
        <v>207</v>
      </c>
      <c r="Z108" s="41"/>
      <c r="AG108" s="29"/>
      <c r="AH108" s="29"/>
      <c r="AI108" s="29"/>
      <c r="AJ108" s="29"/>
      <c r="AK108" s="32"/>
      <c r="AL108" s="32"/>
      <c r="AM108"/>
      <c r="AN108" s="69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</row>
    <row r="109" spans="2:70" s="40" customFormat="1" x14ac:dyDescent="0.25">
      <c r="B109" s="40">
        <f>IF((TAN(Q2*PI()/180)*((wide/2)-(16*79/12)))&gt;0,(TAN(Q2*PI()/180)*((wide/2)-(16*79/12))),0)</f>
        <v>0</v>
      </c>
      <c r="C109" s="41" t="s">
        <v>208</v>
      </c>
      <c r="N109" s="40">
        <f>IF((TAN(Q3*PI()/180)*(wide/2-(16*78/12)))&gt;0,(TAN(Q3*PI()/180)*(wide/2-(16*78/12))),0)</f>
        <v>0</v>
      </c>
      <c r="O109" s="41" t="s">
        <v>209</v>
      </c>
      <c r="Z109" s="41"/>
      <c r="AG109" s="32"/>
      <c r="AH109" s="32"/>
      <c r="AI109" s="32"/>
      <c r="AJ109" s="32"/>
      <c r="AK109" s="32"/>
      <c r="AL109" s="32"/>
      <c r="AM109"/>
      <c r="AN109" s="69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</row>
    <row r="110" spans="2:70" s="40" customFormat="1" x14ac:dyDescent="0.25">
      <c r="B110" s="40">
        <f>IF((TAN(Q2*PI()/180)*((wide/2)-(16*80/12)))&gt;0,(TAN(Q2*PI()/180)*((wide/2)-(16*80/12))),0)</f>
        <v>0</v>
      </c>
      <c r="C110" s="41" t="s">
        <v>210</v>
      </c>
      <c r="N110" s="40">
        <f>IF((TAN(Q3*PI()/180)*(wide/2-(16*79/12)))&gt;0,(TAN(Q3*PI()/180)*(wide/2-(16*79/12))),0)</f>
        <v>0</v>
      </c>
      <c r="O110" s="41" t="s">
        <v>211</v>
      </c>
      <c r="Z110" s="41"/>
      <c r="AG110" s="32"/>
      <c r="AH110" s="32"/>
      <c r="AI110" s="32"/>
      <c r="AJ110" s="32"/>
      <c r="AK110" s="32"/>
      <c r="AL110" s="32"/>
      <c r="AM110"/>
      <c r="AN110" s="69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</row>
    <row r="111" spans="2:70" s="40" customFormat="1" x14ac:dyDescent="0.25">
      <c r="B111" s="40">
        <f>IF((TAN(Q2*PI()/180)*((wide/2)-(16*81/12)))&gt;0,(TAN(Q2*PI()/180)*((wide/2)-(16*81/12))),0)</f>
        <v>0</v>
      </c>
      <c r="C111" s="41" t="s">
        <v>212</v>
      </c>
      <c r="N111" s="40">
        <f>IF((TAN(Q3*PI()/180)*(wide/2-(16*80/12)))&gt;0,(TAN(Q3*PI()/180)*(wide/2-(16*80/12))),0)</f>
        <v>0</v>
      </c>
      <c r="O111" s="41" t="s">
        <v>213</v>
      </c>
      <c r="Z111" s="41"/>
      <c r="AG111" s="32"/>
      <c r="AH111" s="32"/>
      <c r="AI111" s="32"/>
      <c r="AJ111" s="32"/>
      <c r="AK111" s="32"/>
      <c r="AL111" s="32"/>
      <c r="AM111"/>
      <c r="AN111" s="69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</row>
    <row r="112" spans="2:70" s="40" customFormat="1" x14ac:dyDescent="0.25">
      <c r="B112" s="40">
        <f>IF((TAN(Q2*PI()/180)*((wide/2)-(16*82/12)))&gt;0,(TAN(Q2*PI()/180)*((wide/2)-(16*82/12))),0)</f>
        <v>0</v>
      </c>
      <c r="C112" s="41" t="s">
        <v>214</v>
      </c>
      <c r="N112" s="40">
        <f>IF((TAN(Q3*PI()/180)*(wide/2-(16*81/12)))&gt;0,(TAN(Q3*PI()/180)*(wide/2-(16*81/12))),0)</f>
        <v>0</v>
      </c>
      <c r="O112" s="41" t="s">
        <v>215</v>
      </c>
      <c r="Z112" s="41"/>
      <c r="AG112" s="32"/>
      <c r="AH112" s="32"/>
      <c r="AI112" s="32"/>
      <c r="AJ112" s="32"/>
      <c r="AK112" s="32"/>
      <c r="AL112" s="32"/>
      <c r="AM112"/>
      <c r="AN112" s="69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</row>
    <row r="113" spans="2:70" s="40" customFormat="1" x14ac:dyDescent="0.25">
      <c r="B113" s="40">
        <f>IF((TAN(Q2*PI()/180)*((wide/2)-(16*83/12)))&gt;0,(TAN(Q2*PI()/180)*((wide/2)-(16*83/12))),0)</f>
        <v>0</v>
      </c>
      <c r="C113" s="41" t="s">
        <v>216</v>
      </c>
      <c r="N113" s="40">
        <f>IF((TAN(Q3*PI()/180)*(wide/2-(16*82/12)))&gt;0,(TAN(Q3*PI()/180)*(wide/2-(16*82/12))),0)</f>
        <v>0</v>
      </c>
      <c r="O113" s="41" t="s">
        <v>217</v>
      </c>
      <c r="Z113" s="41"/>
      <c r="AG113" s="32"/>
      <c r="AH113" s="32"/>
      <c r="AI113" s="32"/>
      <c r="AJ113" s="32"/>
      <c r="AK113" s="32"/>
      <c r="AL113" s="32"/>
      <c r="AM113"/>
      <c r="AN113" s="69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</row>
    <row r="114" spans="2:70" s="40" customFormat="1" x14ac:dyDescent="0.25">
      <c r="B114" s="40">
        <f>IF((TAN(Q2*PI()/180)*((wide/2)-(16*84/12)))&gt;0,(TAN(Q2*PI()/180)*((wide/2)-(16*84/12))),0)</f>
        <v>0</v>
      </c>
      <c r="C114" s="41" t="s">
        <v>218</v>
      </c>
      <c r="N114" s="40">
        <f>IF((TAN(Q3*PI()/180)*(wide/2-(16*83/12)))&gt;0,(TAN(Q3*PI()/180)*(wide/2-(16*83/12))),0)</f>
        <v>0</v>
      </c>
      <c r="O114" s="41" t="s">
        <v>219</v>
      </c>
      <c r="Z114" s="41"/>
      <c r="AG114" s="32"/>
      <c r="AH114" s="32"/>
      <c r="AI114" s="32"/>
      <c r="AJ114" s="32"/>
      <c r="AK114" s="32"/>
      <c r="AL114" s="32"/>
      <c r="AM114"/>
      <c r="AN114" s="69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</row>
    <row r="115" spans="2:70" s="40" customFormat="1" x14ac:dyDescent="0.25">
      <c r="B115" s="40">
        <f>IF((TAN(Q2*PI()/180)*((wide/2)-(16*85/12)))&gt;0,(TAN(Q2*PI()/180)*((wide/2)-(16*85/12))),0)</f>
        <v>0</v>
      </c>
      <c r="C115" s="41" t="s">
        <v>220</v>
      </c>
      <c r="N115" s="40">
        <f>IF((TAN(Q3*PI()/180)*(wide/2-(16*84/12)))&gt;0,(TAN(Q3*PI()/180)*(wide/2-(16*84/12))),0)</f>
        <v>0</v>
      </c>
      <c r="O115" s="41" t="s">
        <v>221</v>
      </c>
      <c r="Z115" s="41"/>
      <c r="AG115" s="32"/>
      <c r="AH115" s="32"/>
      <c r="AI115" s="32"/>
      <c r="AJ115" s="32"/>
      <c r="AK115" s="32"/>
      <c r="AL115" s="32"/>
      <c r="AM115"/>
      <c r="AN115" s="69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</row>
    <row r="116" spans="2:70" s="40" customFormat="1" x14ac:dyDescent="0.25">
      <c r="B116" s="40">
        <f>IF((TAN(Q2*PI()/180)*((wide/2)-(16*86/12)))&gt;0,(TAN(Q2*PI()/180)*((wide/2)-(16*86/12))),0)</f>
        <v>0</v>
      </c>
      <c r="C116" s="41" t="s">
        <v>222</v>
      </c>
      <c r="N116" s="40">
        <f>IF((TAN(Q3*PI()/180)*(wide/2-(16*85/12)))&gt;0,(TAN(Q3*PI()/180)*(wide/2-(16*85/12))),0)</f>
        <v>0</v>
      </c>
      <c r="O116" s="41" t="s">
        <v>223</v>
      </c>
      <c r="Z116" s="41"/>
      <c r="AG116" s="32"/>
      <c r="AH116" s="32"/>
      <c r="AI116" s="32"/>
      <c r="AJ116" s="32"/>
      <c r="AK116" s="32"/>
      <c r="AL116" s="32"/>
      <c r="AM116"/>
      <c r="AN116" s="69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</row>
    <row r="117" spans="2:70" s="40" customFormat="1" x14ac:dyDescent="0.25">
      <c r="B117" s="40">
        <f>IF((TAN(Q2*PI()/180)*((wide/2)-(16*87/12)))&gt;0,(TAN(Q2*PI()/180)*((wide/2)-(16*87/12))),0)</f>
        <v>0</v>
      </c>
      <c r="C117" s="41" t="s">
        <v>224</v>
      </c>
      <c r="N117" s="40">
        <f>IF((TAN(Q3*PI()/180)*(wide/2-(16*86/12)))&gt;0,(TAN(Q3*PI()/180)*(wide/2-(16*86/12))),0)</f>
        <v>0</v>
      </c>
      <c r="O117" s="41" t="s">
        <v>225</v>
      </c>
      <c r="Z117" s="41"/>
      <c r="AG117" s="32"/>
      <c r="AH117" s="32"/>
      <c r="AI117" s="32"/>
      <c r="AJ117" s="32"/>
      <c r="AK117" s="32"/>
      <c r="AL117" s="32"/>
      <c r="AM117"/>
      <c r="AN117" s="69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</row>
    <row r="118" spans="2:70" s="40" customFormat="1" x14ac:dyDescent="0.25">
      <c r="B118" s="40">
        <f>IF((TAN(Q2*PI()/180)*((wide/2)-(16*88/12)))&gt;0,(TAN(Q2*PI()/180)*((wide/2)-(16*88/12))),0)</f>
        <v>0</v>
      </c>
      <c r="C118" s="41" t="s">
        <v>226</v>
      </c>
      <c r="N118" s="40">
        <f>IF((TAN(Q3*PI()/180)*(wide/2-(16*87/12)))&gt;0,(TAN(Q3*PI()/180)*(wide/2-(16*87/12))),0)</f>
        <v>0</v>
      </c>
      <c r="O118" s="41" t="s">
        <v>227</v>
      </c>
      <c r="Z118" s="41"/>
      <c r="AG118" s="32"/>
      <c r="AH118" s="32"/>
      <c r="AI118" s="32"/>
      <c r="AJ118" s="32"/>
      <c r="AK118" s="32"/>
      <c r="AL118" s="32"/>
      <c r="AM118"/>
      <c r="AN118" s="69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</row>
    <row r="119" spans="2:70" s="40" customFormat="1" x14ac:dyDescent="0.25">
      <c r="B119" s="40">
        <f>IF((TAN(Q2*PI()/180)*((wide/2)-(16*89/12)))&gt;0,(TAN(Q2*PI()/180)*((wide/2)-(16*89/12))),0)</f>
        <v>0</v>
      </c>
      <c r="C119" s="41" t="s">
        <v>228</v>
      </c>
      <c r="N119" s="40">
        <f>IF((TAN(Q3*PI()/180)*(wide/2-(16*88/12)))&gt;0,(TAN(Q3*PI()/180)*(wide/2-(16*88/12))),0)</f>
        <v>0</v>
      </c>
      <c r="O119" s="41" t="s">
        <v>229</v>
      </c>
      <c r="Z119" s="41"/>
      <c r="AG119" s="32"/>
      <c r="AH119" s="32"/>
      <c r="AI119" s="32"/>
      <c r="AJ119" s="32"/>
      <c r="AK119" s="32"/>
      <c r="AL119" s="32"/>
      <c r="AM119"/>
      <c r="AN119" s="69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</row>
    <row r="120" spans="2:70" s="40" customFormat="1" x14ac:dyDescent="0.25">
      <c r="B120" s="40">
        <f>IF((TAN(Q2*PI()/180)*((wide/2)-(16*90/12)))&gt;0,(TAN(Q2*PI()/180)*((wide/2)-(16*90/12))),0)</f>
        <v>0</v>
      </c>
      <c r="C120" s="41" t="s">
        <v>230</v>
      </c>
      <c r="N120" s="40">
        <f>IF((TAN(Q3*PI()/180)*(wide/2-(16*89/12)))&gt;0,(TAN(Q3*PI()/180)*(wide/2-(16*89/12))),0)</f>
        <v>0</v>
      </c>
      <c r="O120" s="41" t="s">
        <v>231</v>
      </c>
      <c r="Z120" s="41"/>
      <c r="AG120" s="32"/>
      <c r="AH120" s="32"/>
      <c r="AI120" s="32"/>
      <c r="AJ120" s="32"/>
      <c r="AK120" s="32"/>
      <c r="AL120" s="32"/>
      <c r="AM120"/>
      <c r="AN120" s="69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</row>
    <row r="121" spans="2:70" s="40" customFormat="1" x14ac:dyDescent="0.25">
      <c r="B121" s="40">
        <f>IF((TAN(Q2*PI()/180)*((wide/2)-(16*91/12)))&gt;0,(TAN(Q2*PI()/180)*((wide/2)-(16*91/12))),0)</f>
        <v>0</v>
      </c>
      <c r="C121" s="41" t="s">
        <v>232</v>
      </c>
      <c r="N121" s="40">
        <f>IF((TAN(Q3*PI()/180)*(wide/2-(16*90/12)))&gt;0,(TAN(Q3*PI()/180)*(wide/2-(16*90/12))),0)</f>
        <v>0</v>
      </c>
      <c r="O121" s="41" t="s">
        <v>233</v>
      </c>
      <c r="Z121" s="41"/>
      <c r="AG121" s="32"/>
      <c r="AH121" s="32"/>
      <c r="AI121" s="32"/>
      <c r="AJ121" s="32"/>
      <c r="AK121" s="32"/>
      <c r="AL121" s="32"/>
      <c r="AM121"/>
      <c r="AN121" s="69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</row>
    <row r="122" spans="2:70" s="40" customFormat="1" x14ac:dyDescent="0.25">
      <c r="B122" s="40">
        <f>IF((TAN(Q2*PI()/180)*((wide/2)-(16*92/12)))&gt;0,(TAN(Q2*PI()/180)*((wide/2)-(16*92/12))),0)</f>
        <v>0</v>
      </c>
      <c r="C122" s="41" t="s">
        <v>234</v>
      </c>
      <c r="N122" s="40">
        <f>IF((TAN(Q3*PI()/180)*(wide/2-(16*91/12)))&gt;0,(TAN(Q3*PI()/180)*(wide/2-(16*91/12))),0)</f>
        <v>0</v>
      </c>
      <c r="O122" s="41" t="s">
        <v>235</v>
      </c>
      <c r="Z122" s="41"/>
      <c r="AG122" s="32"/>
      <c r="AH122" s="32"/>
      <c r="AI122" s="32"/>
      <c r="AJ122" s="32"/>
      <c r="AK122" s="32"/>
      <c r="AL122" s="32"/>
      <c r="AM122"/>
      <c r="AN122" s="69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</row>
    <row r="123" spans="2:70" s="40" customFormat="1" x14ac:dyDescent="0.25">
      <c r="B123" s="40">
        <f>IF((TAN(Q2*PI()/180)*((wide/2)-(16*93/12)))&gt;0,(TAN(Q2*PI()/180)*((wide/2)-(16*93/12))),0)</f>
        <v>0</v>
      </c>
      <c r="C123" s="41" t="s">
        <v>236</v>
      </c>
      <c r="N123" s="40">
        <f>IF((TAN(Q3*PI()/180)*(wide/2-(16*92/12)))&gt;0,(TAN(Q3*PI()/180)*(wide/2-(16*92/12))),0)</f>
        <v>0</v>
      </c>
      <c r="O123" s="41" t="s">
        <v>237</v>
      </c>
      <c r="Z123" s="41"/>
      <c r="AG123" s="32"/>
      <c r="AH123" s="32"/>
      <c r="AI123" s="32"/>
      <c r="AJ123" s="32"/>
      <c r="AK123" s="32"/>
      <c r="AL123" s="32"/>
      <c r="AM123"/>
      <c r="AN123" s="69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</row>
    <row r="124" spans="2:70" s="40" customFormat="1" x14ac:dyDescent="0.25">
      <c r="B124" s="40">
        <f>IF((TAN(Q2*PI()/180)*((wide/2)-(16*94/12)))&gt;0,(TAN(Q2*PI()/180)*((wide/2)-(16*94/12))),0)</f>
        <v>0</v>
      </c>
      <c r="C124" s="41" t="s">
        <v>238</v>
      </c>
      <c r="N124" s="40">
        <f>IF((TAN(Q3*PI()/180)*(wide/2-(16*93/12)))&gt;0,(TAN(Q3*PI()/180)*(wide/2-(16*93/12))),0)</f>
        <v>0</v>
      </c>
      <c r="O124" s="41" t="s">
        <v>239</v>
      </c>
      <c r="Z124" s="41"/>
      <c r="AG124" s="32"/>
      <c r="AH124" s="32"/>
      <c r="AI124" s="32"/>
      <c r="AJ124" s="32"/>
      <c r="AK124" s="32"/>
      <c r="AL124" s="32"/>
      <c r="AM124"/>
      <c r="AN124" s="69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</row>
    <row r="125" spans="2:70" s="40" customFormat="1" x14ac:dyDescent="0.25">
      <c r="B125" s="40">
        <f>IF((TAN(Q2*PI()/180)*((wide/2)-(16*95/12)))&gt;0,(TAN(Q2*PI()/180)*((wide/2)-(16*95/12))),0)</f>
        <v>0</v>
      </c>
      <c r="C125" s="41" t="s">
        <v>240</v>
      </c>
      <c r="N125" s="40">
        <f>IF((TAN(Q3*PI()/180)*(wide/2-(16*94/12)))&gt;0,(TAN(Q3*PI()/180)*(wide/2-(16*94/12))),0)</f>
        <v>0</v>
      </c>
      <c r="O125" s="41" t="s">
        <v>241</v>
      </c>
      <c r="Z125" s="41"/>
      <c r="AG125" s="32"/>
      <c r="AH125" s="32"/>
      <c r="AI125" s="32"/>
      <c r="AJ125" s="32"/>
      <c r="AK125" s="32"/>
      <c r="AL125" s="32"/>
      <c r="AM125"/>
      <c r="AN125" s="69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</row>
    <row r="126" spans="2:70" s="40" customFormat="1" x14ac:dyDescent="0.25">
      <c r="B126" s="40">
        <f>IF((TAN(Q2*PI()/180)*((wide/2)-(16*96/12)))&gt;0,(TAN(Q2*PI()/180)*((wide/2)-(16*96/12))),0)</f>
        <v>0</v>
      </c>
      <c r="C126" s="41" t="s">
        <v>242</v>
      </c>
      <c r="N126" s="40">
        <f>IF((TAN(Q3*PI()/180)*(wide/2-(16*95/12)))&gt;0,(TAN(Q3*PI()/180)*(wide/2-(16*95/12))),0)</f>
        <v>0</v>
      </c>
      <c r="O126" s="41" t="s">
        <v>243</v>
      </c>
      <c r="Z126" s="41"/>
      <c r="AG126" s="32"/>
      <c r="AH126" s="32"/>
      <c r="AI126" s="32"/>
      <c r="AJ126" s="32"/>
      <c r="AK126" s="32"/>
      <c r="AL126" s="32"/>
      <c r="AM126"/>
      <c r="AN126" s="69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</row>
    <row r="127" spans="2:70" s="40" customFormat="1" x14ac:dyDescent="0.25">
      <c r="B127" s="40">
        <f>IF((TAN(Q2*PI()/180)*((wide/2)-(16*97/12)))&gt;0,(TAN(Q2*PI()/180)*((wide/2)-(16*97/12))),0)</f>
        <v>0</v>
      </c>
      <c r="C127" s="41" t="s">
        <v>244</v>
      </c>
      <c r="N127" s="40">
        <f>IF((TAN(Q3*PI()/180)*(wide/2-(16*96/12)))&gt;0,(TAN(Q3*PI()/180)*(wide/2-(16*96/12))),0)</f>
        <v>0</v>
      </c>
      <c r="O127" s="41" t="s">
        <v>245</v>
      </c>
      <c r="Z127" s="41"/>
      <c r="AG127" s="32"/>
      <c r="AH127" s="32"/>
      <c r="AI127" s="32"/>
      <c r="AJ127" s="32"/>
      <c r="AK127" s="32"/>
      <c r="AL127" s="32"/>
      <c r="AM127"/>
      <c r="AN127" s="69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</row>
    <row r="128" spans="2:70" s="40" customFormat="1" x14ac:dyDescent="0.25">
      <c r="B128" s="40">
        <f>IF((TAN(Q2*PI()/180)*((wide/2)-(16*98/12)))&gt;0,(TAN(Q2*PI()/180)*((wide/2)-(16*98/12))),0)</f>
        <v>0</v>
      </c>
      <c r="C128" s="41" t="s">
        <v>246</v>
      </c>
      <c r="N128" s="40">
        <f>IF((TAN(Q3*PI()/180)*(wide/2-(16*97/12)))&gt;0,(TAN(Q3*PI()/180)*(wide/2-(16*97/12))),0)</f>
        <v>0</v>
      </c>
      <c r="O128" s="41" t="s">
        <v>247</v>
      </c>
      <c r="Z128" s="41"/>
      <c r="AG128" s="32"/>
      <c r="AH128" s="32"/>
      <c r="AI128" s="32"/>
      <c r="AJ128" s="32"/>
      <c r="AK128" s="32"/>
      <c r="AL128" s="32"/>
      <c r="AM128"/>
      <c r="AN128" s="69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</row>
    <row r="129" spans="1:70" s="40" customFormat="1" x14ac:dyDescent="0.25">
      <c r="B129" s="40">
        <f>IF((TAN(Q2*PI()/180)*((wide/2)-(16*99/12)))&gt;0,(TAN(Q2*PI()/180)*((wide/2)-(16*99/12))),0)</f>
        <v>0</v>
      </c>
      <c r="C129" s="41" t="s">
        <v>248</v>
      </c>
      <c r="N129" s="40">
        <f>IF((TAN(Q3*PI()/180)*(wide/2-(16*98/12)))&gt;0,(TAN(Q3*PI()/180)*(wide/2-(16*98/12))),0)</f>
        <v>0</v>
      </c>
      <c r="O129" s="41" t="s">
        <v>249</v>
      </c>
      <c r="Z129" s="41"/>
      <c r="AG129" s="32"/>
      <c r="AH129" s="32"/>
      <c r="AI129" s="32"/>
      <c r="AJ129" s="32"/>
      <c r="AK129" s="32"/>
      <c r="AL129" s="32"/>
      <c r="AM129"/>
      <c r="AN129" s="69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</row>
    <row r="130" spans="1:70" s="40" customFormat="1" x14ac:dyDescent="0.25">
      <c r="B130" s="40">
        <f>IF((TAN(Q2*PI()/180)*((wide/2)-(16*100/12)))&gt;0,(TAN(Q2*PI()/180)*((wide/2)-(16*100/12))),0)</f>
        <v>0</v>
      </c>
      <c r="C130" s="41" t="s">
        <v>250</v>
      </c>
      <c r="N130" s="40">
        <f>IF((TAN(Q3*PI()/180)*(wide/2-(16*99/12)))&gt;0,(TAN(Q3*PI()/180)*(wide/2-(16*99/12))),0)</f>
        <v>0</v>
      </c>
      <c r="O130" s="41" t="s">
        <v>251</v>
      </c>
      <c r="Z130" s="41"/>
      <c r="AG130" s="32"/>
      <c r="AH130" s="32"/>
      <c r="AI130" s="32"/>
      <c r="AJ130" s="32"/>
      <c r="AK130" s="25"/>
      <c r="AL130" s="25"/>
      <c r="AM130"/>
      <c r="AN130" s="69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</row>
    <row r="131" spans="1:70" s="40" customFormat="1" x14ac:dyDescent="0.25">
      <c r="B131" s="40">
        <f>IF((TAN(Q2*PI()/180)*((wide/2)-(16*101/12)))&gt;0,(TAN(Q2*PI()/180)*((wide/2)-(16*101/12))),0)</f>
        <v>0</v>
      </c>
      <c r="C131" s="41" t="s">
        <v>252</v>
      </c>
      <c r="N131" s="40">
        <f>IF((TAN(Q3*PI()/180)*(wide/2-(16*100/12)))&gt;0,(TAN(Q3*PI()/180)*(wide/2-(16*100/12))),0)</f>
        <v>0</v>
      </c>
      <c r="O131" s="41" t="s">
        <v>253</v>
      </c>
      <c r="Z131" s="41"/>
      <c r="AG131" s="32"/>
      <c r="AH131" s="32"/>
      <c r="AI131" s="32"/>
      <c r="AJ131" s="32"/>
      <c r="AK131" s="32"/>
      <c r="AL131" s="32"/>
      <c r="AM131"/>
      <c r="AN131" s="69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</row>
    <row r="132" spans="1:70" s="40" customFormat="1" x14ac:dyDescent="0.25">
      <c r="B132" s="40">
        <f>IF((TAN(Q2*PI()/180)*((wide/2)-(16*102/12)))&gt;0,(TAN(Q2*PI()/180)*((wide/2)-(16*102/12))),0)</f>
        <v>0</v>
      </c>
      <c r="C132" s="41" t="s">
        <v>254</v>
      </c>
      <c r="N132" s="40">
        <f>IF((TAN(Q3*PI()/180)*(wide/2-(16*101/12)))&gt;0,(TAN(Q3*PI()/180)*(wide/2-(16*101/12))),0)</f>
        <v>0</v>
      </c>
      <c r="O132" s="41" t="s">
        <v>255</v>
      </c>
      <c r="Z132" s="41"/>
      <c r="AG132" s="25"/>
      <c r="AH132" s="25"/>
      <c r="AI132" s="25"/>
      <c r="AJ132" s="25"/>
      <c r="AK132" s="32"/>
      <c r="AL132" s="32"/>
      <c r="AM132"/>
      <c r="AN132" s="69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</row>
    <row r="133" spans="1:70" s="40" customFormat="1" x14ac:dyDescent="0.25">
      <c r="B133" s="40">
        <f>IF((TAN(Q2*PI()/180)*((wide/2)-(16*103/12)))&gt;0,(TAN(Q2*PI()/180)*((wide/2)-(16*103/12))),0)</f>
        <v>0</v>
      </c>
      <c r="C133" s="41" t="s">
        <v>256</v>
      </c>
      <c r="N133" s="40">
        <f>IF((TAN(Q3*PI()/180)*(wide/2-(16*102/12)))&gt;0,(TAN(Q3*PI()/180)*(wide/2-(16*102/12))),0)</f>
        <v>0</v>
      </c>
      <c r="O133" s="41" t="s">
        <v>257</v>
      </c>
      <c r="Z133" s="41"/>
      <c r="AG133" s="32"/>
      <c r="AH133" s="32"/>
      <c r="AI133" s="32"/>
      <c r="AJ133" s="32"/>
      <c r="AK133" s="32"/>
      <c r="AL133" s="32"/>
      <c r="AM133"/>
      <c r="AN133" s="69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</row>
    <row r="134" spans="1:70" s="40" customFormat="1" x14ac:dyDescent="0.25">
      <c r="B134" s="40">
        <f>IF((TAN(Q2*PI()/180)*((wide/2)-(16*104/12)))&gt;0,(TAN(Q2*PI()/180)*((wide/2)-(16*104/12))),0)</f>
        <v>0</v>
      </c>
      <c r="C134" s="41" t="s">
        <v>258</v>
      </c>
      <c r="N134" s="40">
        <f>IF((TAN(Q3*PI()/180)*(wide/2-(16*103/12)))&gt;0,(TAN(Q3*PI()/180)*(wide/2-(16*103/12))),0)</f>
        <v>0</v>
      </c>
      <c r="O134" s="41" t="s">
        <v>259</v>
      </c>
      <c r="Z134" s="41"/>
      <c r="AG134" s="32"/>
      <c r="AH134" s="32"/>
      <c r="AI134" s="32"/>
      <c r="AJ134" s="32"/>
      <c r="AK134" s="32"/>
      <c r="AL134" s="32"/>
      <c r="AM134"/>
      <c r="AN134" s="69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</row>
    <row r="135" spans="1:70" s="40" customFormat="1" x14ac:dyDescent="0.25">
      <c r="B135" s="40">
        <f>IF((TAN(Q2*PI()/180)*((wide/2)-(16*105/12)))&gt;0,(TAN(Q2*PI()/180)*((wide/2)-(16*105/12))),0)</f>
        <v>0</v>
      </c>
      <c r="C135" s="41" t="s">
        <v>260</v>
      </c>
      <c r="N135" s="40">
        <f>IF((TAN(Q3*PI()/180)*(wide/2-(16*104/12)))&gt;0,(TAN(Q3*PI()/180)*(wide/2-(16*104/12))),0)</f>
        <v>0</v>
      </c>
      <c r="O135" s="41" t="s">
        <v>261</v>
      </c>
      <c r="Z135" s="41"/>
      <c r="AG135" s="32"/>
      <c r="AH135" s="32"/>
      <c r="AI135" s="32"/>
      <c r="AJ135" s="32"/>
      <c r="AK135" s="32"/>
      <c r="AL135" s="32"/>
      <c r="AM135"/>
      <c r="AN135" s="69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</row>
    <row r="136" spans="1:70" s="40" customFormat="1" x14ac:dyDescent="0.25">
      <c r="B136" s="40">
        <f>IF((TAN(Q2*PI()/180)*((wide/2)-(16*106/12)))&gt;0,(TAN(Q2*PI()/180)*((wide/2)-(16*106/12))),0)</f>
        <v>0</v>
      </c>
      <c r="C136" s="41" t="s">
        <v>262</v>
      </c>
      <c r="N136" s="40">
        <f>IF((TAN(Q3*PI()/180)*(wide/2-(16*105/12)))&gt;0,(TAN(Q3*PI()/180)*(wide/2-(16*105/12))),0)</f>
        <v>0</v>
      </c>
      <c r="O136" s="41" t="s">
        <v>263</v>
      </c>
      <c r="Z136" s="41"/>
      <c r="AG136" s="32"/>
      <c r="AH136" s="32"/>
      <c r="AI136" s="32"/>
      <c r="AJ136" s="32"/>
      <c r="AK136" s="32"/>
      <c r="AL136" s="32"/>
      <c r="AM136"/>
      <c r="AN136" s="69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</row>
    <row r="137" spans="1:70" s="40" customFormat="1" x14ac:dyDescent="0.25">
      <c r="B137" s="40">
        <f>IF((TAN(Q2*PI()/180)*((wide/2)-(16*107/12)))&gt;0,(TAN(Q2*PI()/180)*((wide/2)-(16*107/12))),0)</f>
        <v>0</v>
      </c>
      <c r="C137" s="41" t="s">
        <v>264</v>
      </c>
      <c r="N137" s="40">
        <f>IF((TAN(Q3*PI()/180)*(wide/2-(16*106/12)))&gt;0,(TAN(Q3*PI()/180)*(wide/2-(16*106/12))),0)</f>
        <v>0</v>
      </c>
      <c r="O137" s="41" t="s">
        <v>265</v>
      </c>
      <c r="Z137" s="41"/>
      <c r="AG137" s="32"/>
      <c r="AH137" s="32"/>
      <c r="AI137" s="32"/>
      <c r="AJ137" s="32"/>
      <c r="AK137" s="32"/>
      <c r="AL137" s="32"/>
      <c r="AM137"/>
      <c r="AN137" s="69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</row>
    <row r="138" spans="1:70" s="40" customFormat="1" x14ac:dyDescent="0.25">
      <c r="B138" s="40">
        <f>IF((TAN(Q2*PI()/180)*((wide/2)-(16*108/12)))&gt;0,(TAN(Q2*PI()/180)*((wide/2)-(16*108/12))),0)</f>
        <v>0</v>
      </c>
      <c r="C138" s="41" t="s">
        <v>266</v>
      </c>
      <c r="N138" s="40">
        <f>IF((TAN(Q3*PI()/180)*(wide/2-(16*107/12)))&gt;0,(TAN(Q3*PI()/180)*(wide/2-(16*107/12))),0)</f>
        <v>0</v>
      </c>
      <c r="O138" s="41" t="s">
        <v>267</v>
      </c>
      <c r="Z138" s="41"/>
      <c r="AG138" s="32"/>
      <c r="AH138" s="32"/>
      <c r="AI138" s="32"/>
      <c r="AJ138" s="32"/>
      <c r="AK138"/>
      <c r="AL138"/>
      <c r="AM138"/>
      <c r="AN138" s="69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</row>
    <row r="139" spans="1:70" s="40" customFormat="1" x14ac:dyDescent="0.25">
      <c r="B139" s="40">
        <f>IF((TAN(Q2*PI()/180)*((wide/2)-(16*109/12)))&gt;0,(TAN(Q2*PI()/180)*((wide/2)-(16*109/12))),0)</f>
        <v>0</v>
      </c>
      <c r="C139" s="41" t="s">
        <v>268</v>
      </c>
      <c r="N139" s="40">
        <f>IF((TAN(Q3*PI()/180)*(wide/2-(16*108/12)))&gt;0,(TAN(Q3*PI()/180)*(wide/2-(16*108/12))),0)</f>
        <v>0</v>
      </c>
      <c r="O139" s="41" t="s">
        <v>269</v>
      </c>
      <c r="Z139" s="41"/>
      <c r="AG139" s="32"/>
      <c r="AH139" s="32"/>
      <c r="AI139" s="32"/>
      <c r="AJ139" s="32"/>
      <c r="AK139"/>
      <c r="AL139"/>
      <c r="AM139"/>
      <c r="AN139" s="69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</row>
    <row r="140" spans="1:70" s="40" customFormat="1" x14ac:dyDescent="0.25">
      <c r="B140" s="40">
        <f>IF((TAN(Q2*PI()/180)*((wide/2)-(16*110/12)))&gt;0,(TAN(Q2*PI()/180)*((wide/2)-(16*110/12))),0)</f>
        <v>0</v>
      </c>
      <c r="C140" s="41" t="s">
        <v>270</v>
      </c>
      <c r="N140" s="40">
        <f>IF((TAN(Q3*PI()/180)*(wide/2-(16*109/12)))&gt;0,(TAN(Q3*PI()/180)*(wide/2-(16*109/12))),0)</f>
        <v>0</v>
      </c>
      <c r="O140" s="41" t="s">
        <v>271</v>
      </c>
      <c r="AG140"/>
      <c r="AH140"/>
      <c r="AI140"/>
      <c r="AJ140"/>
      <c r="AK140"/>
      <c r="AL140"/>
      <c r="AM140"/>
      <c r="AN140" s="69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</row>
    <row r="141" spans="1:70" x14ac:dyDescent="0.25">
      <c r="A141" s="40"/>
      <c r="B141" s="40"/>
      <c r="C141" s="41" t="s">
        <v>272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>
        <f>IF((TAN(Q3*PI()/180)*(wide/2-(16*110/12)))&gt;0,(TAN(Q3*PI()/180)*(wide/2-(16*110/12))),0)</f>
        <v>0</v>
      </c>
      <c r="O141" s="41" t="s">
        <v>273</v>
      </c>
      <c r="P141" s="40"/>
      <c r="Q141" s="40"/>
      <c r="R141" s="40"/>
      <c r="S141" s="40"/>
      <c r="T141" s="40"/>
      <c r="U141" s="40"/>
      <c r="V141" s="40"/>
      <c r="W141" s="40"/>
      <c r="X141" s="40"/>
      <c r="AG141"/>
      <c r="AH141"/>
      <c r="AI141"/>
      <c r="AJ141"/>
      <c r="AK141"/>
      <c r="AL141"/>
      <c r="AM141"/>
      <c r="AN141" s="69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</row>
    <row r="142" spans="1:70" x14ac:dyDescent="0.25"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AG142"/>
      <c r="AH142"/>
      <c r="AI142"/>
      <c r="AJ142"/>
      <c r="AK142"/>
      <c r="AL142"/>
      <c r="AM142"/>
      <c r="AN142" s="69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</row>
    <row r="143" spans="1:70" x14ac:dyDescent="0.25">
      <c r="AG143"/>
      <c r="AH143"/>
      <c r="AI143"/>
      <c r="AJ143"/>
      <c r="AK143"/>
      <c r="AL143"/>
      <c r="AM143"/>
      <c r="AN143" s="69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</row>
    <row r="144" spans="1:70" x14ac:dyDescent="0.25">
      <c r="AG144"/>
      <c r="AH144"/>
      <c r="AI144"/>
      <c r="AJ144"/>
      <c r="AK144"/>
      <c r="AL144"/>
      <c r="AM144"/>
      <c r="AN144" s="69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</row>
    <row r="145" spans="33:70" x14ac:dyDescent="0.25">
      <c r="AG145"/>
      <c r="AH145"/>
      <c r="AI145"/>
      <c r="AJ145"/>
      <c r="AK145"/>
      <c r="AL145"/>
      <c r="AM145"/>
      <c r="AN145" s="69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</row>
    <row r="146" spans="33:70" x14ac:dyDescent="0.25">
      <c r="AG146"/>
      <c r="AH146"/>
      <c r="AI146"/>
      <c r="AJ146"/>
      <c r="AK146"/>
      <c r="AL146"/>
      <c r="AM146"/>
      <c r="AN146" s="69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</row>
    <row r="147" spans="33:70" x14ac:dyDescent="0.25">
      <c r="AG147"/>
      <c r="AH147"/>
      <c r="AI147"/>
      <c r="AJ147"/>
      <c r="AK147"/>
      <c r="AL147"/>
      <c r="AM147"/>
      <c r="AN147" s="69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</row>
    <row r="148" spans="33:70" x14ac:dyDescent="0.25">
      <c r="AG148"/>
      <c r="AH148"/>
      <c r="AI148"/>
      <c r="AJ148"/>
      <c r="AK148"/>
      <c r="AL148"/>
      <c r="AM148"/>
      <c r="AN148" s="69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</row>
    <row r="149" spans="33:70" x14ac:dyDescent="0.25">
      <c r="AG149"/>
      <c r="AH149"/>
      <c r="AI149"/>
      <c r="AJ149"/>
      <c r="AK149"/>
      <c r="AL149"/>
      <c r="AM149"/>
      <c r="AN149" s="69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</row>
    <row r="150" spans="33:70" x14ac:dyDescent="0.25">
      <c r="AG150"/>
      <c r="AH150"/>
      <c r="AI150"/>
      <c r="AJ150"/>
      <c r="AK150"/>
      <c r="AL150"/>
      <c r="AM150"/>
      <c r="AN150" s="69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</row>
    <row r="151" spans="33:70" x14ac:dyDescent="0.25">
      <c r="AG151"/>
      <c r="AH151"/>
      <c r="AI151"/>
      <c r="AJ151"/>
      <c r="AK151"/>
      <c r="AL151"/>
      <c r="AM151"/>
      <c r="AN151" s="69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</row>
    <row r="152" spans="33:70" x14ac:dyDescent="0.25">
      <c r="AG152"/>
      <c r="AH152"/>
      <c r="AI152"/>
      <c r="AJ152"/>
      <c r="AK152"/>
      <c r="AL152"/>
      <c r="AM152"/>
      <c r="AN152" s="69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</row>
    <row r="153" spans="33:70" x14ac:dyDescent="0.25">
      <c r="AG153"/>
      <c r="AH153"/>
      <c r="AI153"/>
      <c r="AJ153"/>
      <c r="AK153"/>
      <c r="AL153"/>
      <c r="AM153"/>
      <c r="AN153" s="69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</row>
    <row r="154" spans="33:70" x14ac:dyDescent="0.25">
      <c r="AG154"/>
      <c r="AH154"/>
      <c r="AI154"/>
      <c r="AJ154"/>
      <c r="AK154"/>
      <c r="AL154"/>
      <c r="AM154"/>
      <c r="AN154" s="69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</row>
    <row r="155" spans="33:70" x14ac:dyDescent="0.25">
      <c r="AG155"/>
      <c r="AH155"/>
      <c r="AI155"/>
      <c r="AJ155"/>
      <c r="AK155"/>
      <c r="AL155"/>
      <c r="AM155"/>
      <c r="AN155" s="69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</row>
    <row r="156" spans="33:70" x14ac:dyDescent="0.25">
      <c r="AG156"/>
      <c r="AH156"/>
      <c r="AI156"/>
      <c r="AJ156"/>
      <c r="AK156"/>
      <c r="AL156"/>
      <c r="AM156"/>
      <c r="AN156" s="69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</row>
    <row r="157" spans="33:70" x14ac:dyDescent="0.25">
      <c r="AG157"/>
      <c r="AH157"/>
      <c r="AI157"/>
      <c r="AJ157"/>
      <c r="AK157"/>
      <c r="AL157"/>
      <c r="AM157"/>
      <c r="AN157" s="69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</row>
    <row r="158" spans="33:70" x14ac:dyDescent="0.25">
      <c r="AG158"/>
      <c r="AH158"/>
      <c r="AI158"/>
      <c r="AJ158"/>
      <c r="AK158"/>
      <c r="AL158"/>
      <c r="AM158"/>
      <c r="AN158" s="69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</row>
    <row r="159" spans="33:70" x14ac:dyDescent="0.25">
      <c r="AG159"/>
      <c r="AH159"/>
      <c r="AI159"/>
      <c r="AJ159"/>
      <c r="AK159"/>
      <c r="AL159"/>
      <c r="AM159"/>
      <c r="AN159" s="69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</row>
    <row r="160" spans="33:70" x14ac:dyDescent="0.25">
      <c r="AG160"/>
      <c r="AH160"/>
      <c r="AI160"/>
      <c r="AJ160"/>
      <c r="AK160"/>
      <c r="AL160"/>
      <c r="AM160"/>
      <c r="AN160" s="69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</row>
    <row r="161" spans="33:70" x14ac:dyDescent="0.25">
      <c r="AG161"/>
      <c r="AH161"/>
      <c r="AI161"/>
      <c r="AJ161"/>
      <c r="AK161"/>
      <c r="AL161"/>
      <c r="AM161"/>
      <c r="AN161" s="69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</row>
    <row r="162" spans="33:70" x14ac:dyDescent="0.25">
      <c r="AG162"/>
      <c r="AH162"/>
      <c r="AI162"/>
      <c r="AJ162"/>
      <c r="AK162"/>
      <c r="AL162"/>
      <c r="AM162"/>
      <c r="AN162" s="69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</row>
    <row r="163" spans="33:70" x14ac:dyDescent="0.25">
      <c r="AG163"/>
      <c r="AH163"/>
      <c r="AI163"/>
      <c r="AJ163"/>
      <c r="AK163"/>
      <c r="AL163"/>
      <c r="AM163"/>
      <c r="AN163" s="69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</row>
    <row r="164" spans="33:70" x14ac:dyDescent="0.25">
      <c r="AG164"/>
      <c r="AH164"/>
      <c r="AI164"/>
      <c r="AJ164"/>
      <c r="AK164"/>
      <c r="AL164"/>
      <c r="AM164"/>
      <c r="AN164" s="69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</row>
    <row r="165" spans="33:70" x14ac:dyDescent="0.25">
      <c r="AG165"/>
      <c r="AH165"/>
      <c r="AI165"/>
      <c r="AJ165"/>
      <c r="AK165"/>
      <c r="AL165"/>
      <c r="AM165"/>
      <c r="AN165" s="69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</row>
    <row r="166" spans="33:70" x14ac:dyDescent="0.25">
      <c r="AG166"/>
      <c r="AH166"/>
      <c r="AI166"/>
      <c r="AJ166"/>
      <c r="AK166"/>
      <c r="AL166"/>
      <c r="AM166"/>
      <c r="AN166" s="69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</row>
    <row r="167" spans="33:70" x14ac:dyDescent="0.25">
      <c r="AG167"/>
      <c r="AH167"/>
      <c r="AI167"/>
      <c r="AJ167"/>
      <c r="AK167"/>
      <c r="AL167"/>
      <c r="AM167"/>
      <c r="AN167" s="69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</row>
    <row r="168" spans="33:70" x14ac:dyDescent="0.25">
      <c r="AG168"/>
      <c r="AH168"/>
      <c r="AI168"/>
      <c r="AJ168"/>
      <c r="AK168"/>
      <c r="AL168"/>
      <c r="AM168"/>
      <c r="AN168" s="69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</row>
    <row r="169" spans="33:70" x14ac:dyDescent="0.25">
      <c r="AG169"/>
      <c r="AH169"/>
      <c r="AI169"/>
      <c r="AJ169"/>
      <c r="AK169"/>
      <c r="AL169"/>
      <c r="AM169"/>
      <c r="AN169" s="69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</row>
    <row r="170" spans="33:70" x14ac:dyDescent="0.25">
      <c r="AG170"/>
      <c r="AH170"/>
      <c r="AI170"/>
      <c r="AJ170"/>
      <c r="AK170"/>
      <c r="AL170"/>
      <c r="AM170"/>
      <c r="AN170" s="69"/>
    </row>
    <row r="171" spans="33:70" x14ac:dyDescent="0.25">
      <c r="AG171"/>
      <c r="AH171"/>
      <c r="AI171"/>
      <c r="AJ171"/>
      <c r="AK171"/>
      <c r="AL171"/>
      <c r="AM171"/>
      <c r="AN171" s="69"/>
    </row>
    <row r="172" spans="33:70" x14ac:dyDescent="0.25">
      <c r="AG172"/>
      <c r="AH172"/>
      <c r="AI172"/>
      <c r="AJ172"/>
      <c r="AK172"/>
      <c r="AL172"/>
      <c r="AM172"/>
      <c r="AN172" s="69"/>
    </row>
    <row r="173" spans="33:70" x14ac:dyDescent="0.25">
      <c r="AG173"/>
      <c r="AH173"/>
      <c r="AI173"/>
      <c r="AJ173"/>
      <c r="AK173"/>
      <c r="AL173"/>
      <c r="AM173"/>
      <c r="AN173" s="69"/>
    </row>
    <row r="174" spans="33:70" x14ac:dyDescent="0.25">
      <c r="AG174"/>
      <c r="AH174"/>
      <c r="AI174"/>
      <c r="AJ174"/>
      <c r="AK174"/>
      <c r="AL174"/>
      <c r="AM174"/>
      <c r="AN174" s="69"/>
    </row>
    <row r="175" spans="33:70" x14ac:dyDescent="0.25">
      <c r="AG175"/>
      <c r="AH175"/>
      <c r="AI175"/>
      <c r="AJ175"/>
      <c r="AK175"/>
      <c r="AL175"/>
      <c r="AM175"/>
      <c r="AN175" s="69"/>
    </row>
    <row r="176" spans="33:70" x14ac:dyDescent="0.25">
      <c r="AG176"/>
      <c r="AH176"/>
      <c r="AI176"/>
      <c r="AJ176"/>
      <c r="AK176"/>
      <c r="AL176"/>
      <c r="AM176"/>
      <c r="AN176" s="69"/>
    </row>
    <row r="177" spans="33:40" x14ac:dyDescent="0.25">
      <c r="AG177"/>
      <c r="AH177"/>
      <c r="AI177"/>
      <c r="AJ177"/>
      <c r="AK177"/>
      <c r="AL177"/>
      <c r="AM177"/>
      <c r="AN177" s="69"/>
    </row>
    <row r="178" spans="33:40" x14ac:dyDescent="0.25">
      <c r="AG178"/>
      <c r="AH178"/>
      <c r="AI178"/>
      <c r="AJ178"/>
      <c r="AK178"/>
      <c r="AL178"/>
      <c r="AM178"/>
      <c r="AN178" s="69"/>
    </row>
    <row r="179" spans="33:40" x14ac:dyDescent="0.25">
      <c r="AG179"/>
      <c r="AH179"/>
      <c r="AI179"/>
      <c r="AJ179"/>
      <c r="AK179"/>
      <c r="AL179"/>
      <c r="AM179"/>
      <c r="AN179" s="69"/>
    </row>
    <row r="180" spans="33:40" x14ac:dyDescent="0.25">
      <c r="AG180"/>
      <c r="AH180"/>
      <c r="AI180"/>
      <c r="AJ180"/>
      <c r="AK180"/>
      <c r="AL180"/>
      <c r="AM180"/>
      <c r="AN180" s="69"/>
    </row>
    <row r="181" spans="33:40" x14ac:dyDescent="0.25">
      <c r="AG181"/>
      <c r="AH181"/>
      <c r="AI181"/>
      <c r="AJ181"/>
      <c r="AK181"/>
      <c r="AL181"/>
      <c r="AM181"/>
      <c r="AN181" s="69"/>
    </row>
    <row r="182" spans="33:40" x14ac:dyDescent="0.25">
      <c r="AG182"/>
      <c r="AH182"/>
      <c r="AI182"/>
      <c r="AJ182"/>
      <c r="AK182"/>
      <c r="AL182"/>
      <c r="AM182"/>
      <c r="AN182" s="69"/>
    </row>
    <row r="183" spans="33:40" x14ac:dyDescent="0.25">
      <c r="AG183"/>
      <c r="AH183"/>
      <c r="AI183"/>
      <c r="AJ183"/>
      <c r="AK183"/>
      <c r="AL183"/>
      <c r="AM183"/>
      <c r="AN183" s="69"/>
    </row>
    <row r="184" spans="33:40" x14ac:dyDescent="0.25">
      <c r="AG184"/>
      <c r="AH184"/>
      <c r="AI184"/>
      <c r="AJ184"/>
      <c r="AK184"/>
      <c r="AL184"/>
      <c r="AM184"/>
      <c r="AN184" s="69"/>
    </row>
    <row r="185" spans="33:40" x14ac:dyDescent="0.25">
      <c r="AG185"/>
      <c r="AH185"/>
      <c r="AI185"/>
      <c r="AJ185"/>
      <c r="AK185"/>
      <c r="AL185"/>
      <c r="AM185"/>
      <c r="AN185" s="69"/>
    </row>
    <row r="186" spans="33:40" x14ac:dyDescent="0.25">
      <c r="AG186"/>
      <c r="AH186"/>
      <c r="AI186"/>
      <c r="AJ186"/>
      <c r="AK186"/>
      <c r="AL186"/>
      <c r="AM186"/>
      <c r="AN186" s="69"/>
    </row>
    <row r="187" spans="33:40" x14ac:dyDescent="0.25">
      <c r="AG187"/>
      <c r="AH187"/>
      <c r="AI187"/>
      <c r="AJ187"/>
      <c r="AK187"/>
      <c r="AL187"/>
      <c r="AM187"/>
      <c r="AN187" s="69"/>
    </row>
    <row r="188" spans="33:40" x14ac:dyDescent="0.25">
      <c r="AG188"/>
      <c r="AH188"/>
      <c r="AI188"/>
      <c r="AJ188"/>
      <c r="AK188"/>
      <c r="AL188"/>
      <c r="AM188"/>
      <c r="AN188" s="69"/>
    </row>
    <row r="189" spans="33:40" x14ac:dyDescent="0.25">
      <c r="AG189"/>
      <c r="AH189"/>
      <c r="AI189"/>
      <c r="AJ189"/>
      <c r="AK189"/>
      <c r="AL189"/>
      <c r="AM189"/>
      <c r="AN189" s="69"/>
    </row>
    <row r="190" spans="33:40" x14ac:dyDescent="0.25">
      <c r="AG190"/>
      <c r="AH190"/>
      <c r="AI190"/>
      <c r="AJ190"/>
      <c r="AK190"/>
      <c r="AL190"/>
      <c r="AM190"/>
    </row>
    <row r="191" spans="33:40" x14ac:dyDescent="0.25">
      <c r="AG191"/>
      <c r="AH191"/>
      <c r="AI191"/>
      <c r="AJ191"/>
    </row>
    <row r="192" spans="33:40" x14ac:dyDescent="0.25">
      <c r="AG192"/>
      <c r="AH192"/>
      <c r="AI192"/>
      <c r="AJ192"/>
    </row>
  </sheetData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D_pole_class</vt:lpstr>
      <vt:lpstr>D_pole_class!a</vt:lpstr>
      <vt:lpstr>D_pole_class!diam</vt:lpstr>
      <vt:lpstr>D_pole_class!Eave_height</vt:lpstr>
      <vt:lpstr>D_pole_class!eheight</vt:lpstr>
      <vt:lpstr>D_pole_class!Height</vt:lpstr>
      <vt:lpstr>D_pole_class!high</vt:lpstr>
      <vt:lpstr>length</vt:lpstr>
      <vt:lpstr>D_pole_class!ring</vt:lpstr>
      <vt:lpstr>D_pole_class!sheet</vt:lpstr>
      <vt:lpstr>D_pole_class!wide</vt:lpstr>
      <vt:lpstr>wide2</vt:lpstr>
    </vt:vector>
  </TitlesOfParts>
  <Company>OSU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byounl</dc:creator>
  <cp:lastModifiedBy>user</cp:lastModifiedBy>
  <dcterms:created xsi:type="dcterms:W3CDTF">2011-03-20T19:08:57Z</dcterms:created>
  <dcterms:modified xsi:type="dcterms:W3CDTF">2017-09-30T17:31:19Z</dcterms:modified>
</cp:coreProperties>
</file>