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\AG 2\Co-Operatives\"/>
    </mc:Choice>
  </mc:AlternateContent>
  <bookViews>
    <workbookView xWindow="360" yWindow="15" windowWidth="11340" windowHeight="6795" tabRatio="817"/>
  </bookViews>
  <sheets>
    <sheet name="Introduction" sheetId="9" r:id="rId1"/>
    <sheet name="income statement" sheetId="1" r:id="rId2"/>
    <sheet name="balance sheet" sheetId="3" r:id="rId3"/>
    <sheet name="ratios" sheetId="2" r:id="rId4"/>
    <sheet name="WC Grapsh" sheetId="5" r:id="rId5"/>
    <sheet name="Exp Ratio Graph" sheetId="6" r:id="rId6"/>
    <sheet name="Profit Ratio Graph" sheetId="7" r:id="rId7"/>
    <sheet name="Efficiency Ratio Graphs" sheetId="8" r:id="rId8"/>
    <sheet name="Sheet4" sheetId="4" r:id="rId9"/>
  </sheets>
  <definedNames>
    <definedName name="_xlnm.Print_Area" localSheetId="2">'balance sheet'!$A$1:$O$35</definedName>
    <definedName name="_xlnm.Print_Area" localSheetId="1">'income statement'!$A$1:$G$50</definedName>
    <definedName name="_xlnm.Print_Area" localSheetId="3">ratios!$A$1:$H$43</definedName>
  </definedNames>
  <calcPr calcId="152511"/>
</workbook>
</file>

<file path=xl/calcChain.xml><?xml version="1.0" encoding="utf-8"?>
<calcChain xmlns="http://schemas.openxmlformats.org/spreadsheetml/2006/main">
  <c r="V5" i="2" l="1"/>
  <c r="R2" i="2"/>
  <c r="D3" i="1" l="1"/>
  <c r="C3" i="1"/>
  <c r="S2" i="2" s="1"/>
  <c r="E3" i="1" l="1"/>
  <c r="T2" i="2"/>
  <c r="A1" i="3"/>
  <c r="J1" i="3"/>
  <c r="D3" i="3"/>
  <c r="K3" i="3" s="1"/>
  <c r="E3" i="3"/>
  <c r="F3" i="3"/>
  <c r="G3" i="3"/>
  <c r="N3" i="3" s="1"/>
  <c r="L3" i="3"/>
  <c r="M3" i="3"/>
  <c r="L5" i="3"/>
  <c r="G6" i="3"/>
  <c r="H6" i="3"/>
  <c r="G9" i="3"/>
  <c r="H9" i="3"/>
  <c r="G11" i="3"/>
  <c r="H11" i="3"/>
  <c r="G15" i="3"/>
  <c r="H15" i="3"/>
  <c r="D16" i="3"/>
  <c r="E16" i="3"/>
  <c r="E25" i="3" s="1"/>
  <c r="F16" i="3"/>
  <c r="G16" i="3"/>
  <c r="G29" i="3" s="1"/>
  <c r="K17" i="3"/>
  <c r="L17" i="3"/>
  <c r="L26" i="3" s="1"/>
  <c r="L35" i="3" s="1"/>
  <c r="M17" i="3"/>
  <c r="N17" i="3"/>
  <c r="O17" i="3"/>
  <c r="D21" i="3"/>
  <c r="E21" i="3"/>
  <c r="F21" i="3"/>
  <c r="G21" i="3"/>
  <c r="H21" i="3"/>
  <c r="D23" i="3"/>
  <c r="E23" i="3"/>
  <c r="F23" i="3"/>
  <c r="G23" i="3"/>
  <c r="K24" i="3"/>
  <c r="L24" i="3"/>
  <c r="C40" i="2" s="1"/>
  <c r="S42" i="2" s="1"/>
  <c r="M24" i="3"/>
  <c r="M26" i="3" s="1"/>
  <c r="N24" i="3"/>
  <c r="E40" i="2" s="1"/>
  <c r="U42" i="2" s="1"/>
  <c r="O24" i="3"/>
  <c r="D25" i="3"/>
  <c r="K26" i="3"/>
  <c r="K35" i="3" s="1"/>
  <c r="N26" i="3"/>
  <c r="N35" i="3" s="1"/>
  <c r="O26" i="3"/>
  <c r="D29" i="3"/>
  <c r="B38" i="2" s="1"/>
  <c r="R40" i="2" s="1"/>
  <c r="F29" i="3"/>
  <c r="D38" i="2" s="1"/>
  <c r="T40" i="2" s="1"/>
  <c r="K33" i="3"/>
  <c r="B39" i="2" s="1"/>
  <c r="R41" i="2" s="1"/>
  <c r="L33" i="3"/>
  <c r="M33" i="3"/>
  <c r="D39" i="2" s="1"/>
  <c r="T41" i="2" s="1"/>
  <c r="N33" i="3"/>
  <c r="O33" i="3"/>
  <c r="F39" i="2" s="1"/>
  <c r="V41" i="2" s="1"/>
  <c r="O35" i="3"/>
  <c r="G5" i="1"/>
  <c r="G6" i="1"/>
  <c r="B7" i="1"/>
  <c r="C7" i="1"/>
  <c r="D7" i="1"/>
  <c r="E7" i="1"/>
  <c r="E23" i="2" s="1"/>
  <c r="U23" i="2" s="1"/>
  <c r="F7" i="1"/>
  <c r="B10" i="1"/>
  <c r="B12" i="1" s="1"/>
  <c r="B5" i="2" s="1"/>
  <c r="C10" i="1"/>
  <c r="D10" i="1"/>
  <c r="D12" i="1" s="1"/>
  <c r="D5" i="2" s="1"/>
  <c r="E10" i="1"/>
  <c r="F10" i="1"/>
  <c r="F12" i="1" s="1"/>
  <c r="F5" i="2" s="1"/>
  <c r="B11" i="1"/>
  <c r="C11" i="1"/>
  <c r="D11" i="1"/>
  <c r="E11" i="1"/>
  <c r="E12" i="1" s="1"/>
  <c r="E5" i="2" s="1"/>
  <c r="U4" i="2" s="1"/>
  <c r="F11" i="1"/>
  <c r="C12" i="1"/>
  <c r="C5" i="2" s="1"/>
  <c r="D20" i="1"/>
  <c r="D23" i="1" s="1"/>
  <c r="B23" i="1"/>
  <c r="C23" i="1"/>
  <c r="C25" i="1" s="1"/>
  <c r="E23" i="1"/>
  <c r="F23" i="1"/>
  <c r="B34" i="1"/>
  <c r="C34" i="1"/>
  <c r="C45" i="1" s="1"/>
  <c r="D34" i="1"/>
  <c r="D45" i="1" s="1"/>
  <c r="D18" i="2" s="1"/>
  <c r="T18" i="2" s="1"/>
  <c r="E34" i="1"/>
  <c r="F34" i="1"/>
  <c r="B41" i="1"/>
  <c r="B19" i="2" s="1"/>
  <c r="R19" i="2" s="1"/>
  <c r="C41" i="1"/>
  <c r="C19" i="2" s="1"/>
  <c r="S19" i="2" s="1"/>
  <c r="D41" i="1"/>
  <c r="D19" i="2" s="1"/>
  <c r="T19" i="2" s="1"/>
  <c r="E41" i="1"/>
  <c r="E19" i="2" s="1"/>
  <c r="U19" i="2" s="1"/>
  <c r="F41" i="1"/>
  <c r="F19" i="2" s="1"/>
  <c r="V19" i="2" s="1"/>
  <c r="B45" i="1"/>
  <c r="B18" i="2" s="1"/>
  <c r="R18" i="2" s="1"/>
  <c r="E45" i="1"/>
  <c r="F45" i="1"/>
  <c r="F18" i="2" s="1"/>
  <c r="V18" i="2" s="1"/>
  <c r="D49" i="1"/>
  <c r="B1" i="2"/>
  <c r="B2" i="2"/>
  <c r="C2" i="2"/>
  <c r="D2" i="2"/>
  <c r="E2" i="2"/>
  <c r="E18" i="2"/>
  <c r="U18" i="2" s="1"/>
  <c r="B23" i="2"/>
  <c r="R23" i="2" s="1"/>
  <c r="D23" i="2"/>
  <c r="T23" i="2" s="1"/>
  <c r="B24" i="2"/>
  <c r="R24" i="2" s="1"/>
  <c r="D24" i="2"/>
  <c r="T24" i="2" s="1"/>
  <c r="B25" i="2"/>
  <c r="R25" i="2" s="1"/>
  <c r="C25" i="2"/>
  <c r="S25" i="2" s="1"/>
  <c r="D25" i="2"/>
  <c r="T25" i="2" s="1"/>
  <c r="E25" i="2"/>
  <c r="U25" i="2" s="1"/>
  <c r="F25" i="2"/>
  <c r="V25" i="2" s="1"/>
  <c r="B26" i="2"/>
  <c r="R26" i="2" s="1"/>
  <c r="C26" i="2"/>
  <c r="S26" i="2" s="1"/>
  <c r="D26" i="2"/>
  <c r="T26" i="2" s="1"/>
  <c r="E26" i="2"/>
  <c r="U26" i="2" s="1"/>
  <c r="B28" i="2"/>
  <c r="R28" i="2" s="1"/>
  <c r="D28" i="2"/>
  <c r="T28" i="2" s="1"/>
  <c r="B32" i="2"/>
  <c r="D32" i="2"/>
  <c r="T34" i="2" s="1"/>
  <c r="B33" i="2"/>
  <c r="R35" i="2" s="1"/>
  <c r="D33" i="2"/>
  <c r="T35" i="2" s="1"/>
  <c r="C39" i="2"/>
  <c r="S41" i="2" s="1"/>
  <c r="E39" i="2"/>
  <c r="U41" i="2" s="1"/>
  <c r="B40" i="2"/>
  <c r="R42" i="2" s="1"/>
  <c r="D40" i="2"/>
  <c r="T42" i="2" s="1"/>
  <c r="F40" i="2"/>
  <c r="V42" i="2" s="1"/>
  <c r="C42" i="2"/>
  <c r="S44" i="2" s="1"/>
  <c r="E42" i="2"/>
  <c r="U44" i="2" s="1"/>
  <c r="B43" i="2"/>
  <c r="D43" i="2"/>
  <c r="B44" i="2"/>
  <c r="C44" i="2"/>
  <c r="D44" i="2"/>
  <c r="E44" i="2"/>
  <c r="F44" i="2"/>
  <c r="A2" i="4"/>
  <c r="T4" i="2" l="1"/>
  <c r="D6" i="2"/>
  <c r="T5" i="2" s="1"/>
  <c r="C16" i="2"/>
  <c r="S16" i="2" s="1"/>
  <c r="C15" i="2"/>
  <c r="S15" i="2" s="1"/>
  <c r="C17" i="2"/>
  <c r="S17" i="2" s="1"/>
  <c r="E24" i="2"/>
  <c r="U24" i="2" s="1"/>
  <c r="E28" i="2"/>
  <c r="U28" i="2" s="1"/>
  <c r="E38" i="2"/>
  <c r="U40" i="2" s="1"/>
  <c r="E41" i="2"/>
  <c r="U43" i="2" s="1"/>
  <c r="U47" i="2" s="1"/>
  <c r="E45" i="2" s="1"/>
  <c r="D25" i="1"/>
  <c r="S4" i="2"/>
  <c r="C6" i="2"/>
  <c r="S5" i="2" s="1"/>
  <c r="B6" i="2"/>
  <c r="R5" i="2" s="1"/>
  <c r="R4" i="2"/>
  <c r="H16" i="3"/>
  <c r="F33" i="2" s="1"/>
  <c r="V35" i="2" s="1"/>
  <c r="E43" i="2"/>
  <c r="C43" i="2"/>
  <c r="F42" i="2"/>
  <c r="V44" i="2" s="1"/>
  <c r="D42" i="2"/>
  <c r="T44" i="2" s="1"/>
  <c r="B42" i="2"/>
  <c r="R44" i="2" s="1"/>
  <c r="D41" i="2"/>
  <c r="T43" i="2" s="1"/>
  <c r="T47" i="2" s="1"/>
  <c r="D45" i="2" s="1"/>
  <c r="B41" i="2"/>
  <c r="R43" i="2" s="1"/>
  <c r="E33" i="2"/>
  <c r="U35" i="2" s="1"/>
  <c r="C33" i="2"/>
  <c r="S35" i="2" s="1"/>
  <c r="E32" i="2"/>
  <c r="U34" i="2" s="1"/>
  <c r="C32" i="2"/>
  <c r="F26" i="2"/>
  <c r="V26" i="2" s="1"/>
  <c r="B25" i="1"/>
  <c r="G7" i="1"/>
  <c r="E29" i="3"/>
  <c r="M35" i="3"/>
  <c r="F25" i="3"/>
  <c r="G25" i="3"/>
  <c r="F3" i="1"/>
  <c r="U2" i="2"/>
  <c r="B34" i="2"/>
  <c r="R36" i="2" s="1"/>
  <c r="R34" i="2"/>
  <c r="T29" i="2"/>
  <c r="D29" i="2" s="1"/>
  <c r="V4" i="2"/>
  <c r="E6" i="2"/>
  <c r="U5" i="2" s="1"/>
  <c r="R47" i="2"/>
  <c r="B45" i="2" s="1"/>
  <c r="R29" i="2"/>
  <c r="B29" i="2" s="1"/>
  <c r="D34" i="2"/>
  <c r="T36" i="2" s="1"/>
  <c r="T37" i="2" s="1"/>
  <c r="D35" i="2" s="1"/>
  <c r="U29" i="2"/>
  <c r="E29" i="2" s="1"/>
  <c r="C47" i="1"/>
  <c r="C18" i="2"/>
  <c r="B17" i="2"/>
  <c r="R17" i="2" s="1"/>
  <c r="B16" i="2"/>
  <c r="R16" i="2" s="1"/>
  <c r="B47" i="1"/>
  <c r="B4" i="2" s="1"/>
  <c r="R3" i="2" s="1"/>
  <c r="B15" i="2"/>
  <c r="R15" i="2" s="1"/>
  <c r="D16" i="2"/>
  <c r="T16" i="2" s="1"/>
  <c r="D47" i="1"/>
  <c r="D15" i="2"/>
  <c r="T15" i="2" s="1"/>
  <c r="D17" i="2"/>
  <c r="T17" i="2" s="1"/>
  <c r="E25" i="1"/>
  <c r="F25" i="1"/>
  <c r="H25" i="3"/>
  <c r="H29" i="3"/>
  <c r="D4" i="2" l="1"/>
  <c r="T3" i="2" s="1"/>
  <c r="D7" i="2"/>
  <c r="T6" i="2" s="1"/>
  <c r="D8" i="2"/>
  <c r="T7" i="2" s="1"/>
  <c r="F32" i="2"/>
  <c r="V34" i="2" s="1"/>
  <c r="F43" i="2"/>
  <c r="C4" i="2"/>
  <c r="S3" i="2" s="1"/>
  <c r="C8" i="2"/>
  <c r="S7" i="2" s="1"/>
  <c r="C7" i="2"/>
  <c r="S6" i="2" s="1"/>
  <c r="E34" i="2"/>
  <c r="U36" i="2" s="1"/>
  <c r="U37" i="2" s="1"/>
  <c r="E35" i="2" s="1"/>
  <c r="V2" i="2"/>
  <c r="H3" i="3"/>
  <c r="O3" i="3" s="1"/>
  <c r="F2" i="2"/>
  <c r="C24" i="2"/>
  <c r="S24" i="2" s="1"/>
  <c r="C28" i="2"/>
  <c r="S28" i="2" s="1"/>
  <c r="C38" i="2"/>
  <c r="S40" i="2" s="1"/>
  <c r="S47" i="2" s="1"/>
  <c r="C45" i="2" s="1"/>
  <c r="C41" i="2"/>
  <c r="S43" i="2" s="1"/>
  <c r="S34" i="2"/>
  <c r="S37" i="2" s="1"/>
  <c r="C35" i="2" s="1"/>
  <c r="C34" i="2"/>
  <c r="S36" i="2" s="1"/>
  <c r="C23" i="2"/>
  <c r="S23" i="2" s="1"/>
  <c r="S29" i="2" s="1"/>
  <c r="C29" i="2" s="1"/>
  <c r="S18" i="2"/>
  <c r="S20" i="2" s="1"/>
  <c r="C20" i="2" s="1"/>
  <c r="R37" i="2"/>
  <c r="B35" i="2" s="1"/>
  <c r="R20" i="2"/>
  <c r="B20" i="2" s="1"/>
  <c r="T20" i="2"/>
  <c r="D20" i="2" s="1"/>
  <c r="F17" i="2"/>
  <c r="V17" i="2" s="1"/>
  <c r="F16" i="2"/>
  <c r="V16" i="2" s="1"/>
  <c r="F47" i="1"/>
  <c r="F4" i="2" s="1"/>
  <c r="V3" i="2" s="1"/>
  <c r="F15" i="2"/>
  <c r="V15" i="2" s="1"/>
  <c r="F28" i="2"/>
  <c r="V28" i="2" s="1"/>
  <c r="F24" i="2"/>
  <c r="V24" i="2" s="1"/>
  <c r="F23" i="2"/>
  <c r="V23" i="2" s="1"/>
  <c r="F38" i="2"/>
  <c r="V40" i="2" s="1"/>
  <c r="F41" i="2"/>
  <c r="V43" i="2" s="1"/>
  <c r="F34" i="2"/>
  <c r="V36" i="2" s="1"/>
  <c r="V37" i="2" s="1"/>
  <c r="F35" i="2" s="1"/>
  <c r="D9" i="2"/>
  <c r="T8" i="2" s="1"/>
  <c r="D50" i="1"/>
  <c r="D54" i="1" s="1"/>
  <c r="D10" i="2" s="1"/>
  <c r="E17" i="2"/>
  <c r="U17" i="2" s="1"/>
  <c r="E16" i="2"/>
  <c r="U16" i="2" s="1"/>
  <c r="E47" i="1"/>
  <c r="E15" i="2"/>
  <c r="U15" i="2" s="1"/>
  <c r="B9" i="2"/>
  <c r="R8" i="2" s="1"/>
  <c r="B50" i="1"/>
  <c r="B54" i="1" s="1"/>
  <c r="B10" i="2" s="1"/>
  <c r="B8" i="2"/>
  <c r="R7" i="2" s="1"/>
  <c r="B7" i="2"/>
  <c r="R6" i="2" s="1"/>
  <c r="C9" i="2"/>
  <c r="S8" i="2" s="1"/>
  <c r="C50" i="1"/>
  <c r="C54" i="1" s="1"/>
  <c r="C10" i="2" s="1"/>
  <c r="E4" i="2" l="1"/>
  <c r="U3" i="2" s="1"/>
  <c r="E8" i="2"/>
  <c r="U7" i="2" s="1"/>
  <c r="E7" i="2"/>
  <c r="U6" i="2" s="1"/>
  <c r="C11" i="2"/>
  <c r="S10" i="2" s="1"/>
  <c r="S9" i="2"/>
  <c r="S11" i="2" s="1"/>
  <c r="C12" i="2" s="1"/>
  <c r="B11" i="2"/>
  <c r="R10" i="2" s="1"/>
  <c r="R9" i="2"/>
  <c r="D11" i="2"/>
  <c r="T10" i="2" s="1"/>
  <c r="T9" i="2"/>
  <c r="T11" i="2" s="1"/>
  <c r="D12" i="2" s="1"/>
  <c r="V47" i="2"/>
  <c r="F45" i="2" s="1"/>
  <c r="V20" i="2"/>
  <c r="F20" i="2" s="1"/>
  <c r="U20" i="2"/>
  <c r="E20" i="2" s="1"/>
  <c r="V29" i="2"/>
  <c r="F29" i="2" s="1"/>
  <c r="R11" i="2"/>
  <c r="B12" i="2" s="1"/>
  <c r="F7" i="2"/>
  <c r="V6" i="2" s="1"/>
  <c r="F8" i="2"/>
  <c r="V7" i="2" s="1"/>
  <c r="E50" i="1"/>
  <c r="E54" i="1" s="1"/>
  <c r="E10" i="2" s="1"/>
  <c r="E9" i="2"/>
  <c r="U8" i="2" s="1"/>
  <c r="F9" i="2"/>
  <c r="V8" i="2" s="1"/>
  <c r="F50" i="1"/>
  <c r="F54" i="1" s="1"/>
  <c r="F10" i="2" s="1"/>
  <c r="V9" i="2" l="1"/>
  <c r="F11" i="2"/>
  <c r="V10" i="2" s="1"/>
  <c r="E11" i="2"/>
  <c r="U10" i="2" s="1"/>
  <c r="U9" i="2"/>
  <c r="U11" i="2" s="1"/>
  <c r="E12" i="2" s="1"/>
  <c r="V11" i="2"/>
  <c r="F12" i="2" s="1"/>
</calcChain>
</file>

<file path=xl/sharedStrings.xml><?xml version="1.0" encoding="utf-8"?>
<sst xmlns="http://schemas.openxmlformats.org/spreadsheetml/2006/main" count="237" uniqueCount="197">
  <si>
    <t>Sales</t>
  </si>
  <si>
    <t>Grain</t>
  </si>
  <si>
    <t>Total Sales</t>
  </si>
  <si>
    <t>Other Income</t>
  </si>
  <si>
    <t>Farm Supply</t>
  </si>
  <si>
    <t>Storage and Handling</t>
  </si>
  <si>
    <t>Feed milling</t>
  </si>
  <si>
    <t>Custom Application</t>
  </si>
  <si>
    <t>Total Other Income</t>
  </si>
  <si>
    <t>Petroleum Revenues</t>
  </si>
  <si>
    <t>Total Gross Income</t>
  </si>
  <si>
    <t>Operating Expenses</t>
  </si>
  <si>
    <t>Payroll and Benefits</t>
  </si>
  <si>
    <t>Depreciation and Amoritzation</t>
  </si>
  <si>
    <t>Interest</t>
  </si>
  <si>
    <t>Insurance</t>
  </si>
  <si>
    <t>Property Taxes</t>
  </si>
  <si>
    <t>Utilities</t>
  </si>
  <si>
    <t>Truck</t>
  </si>
  <si>
    <t>Repairs and Supplies</t>
  </si>
  <si>
    <t>Advertising</t>
  </si>
  <si>
    <t>Office Supplies</t>
  </si>
  <si>
    <t>Rent</t>
  </si>
  <si>
    <t>Bad Debt Provision</t>
  </si>
  <si>
    <t>Telephone</t>
  </si>
  <si>
    <t>Other Operating Expenses</t>
  </si>
  <si>
    <t>Total Operating Expenses</t>
  </si>
  <si>
    <t>Savings before Income Tax</t>
  </si>
  <si>
    <t>Income Taxes</t>
  </si>
  <si>
    <t>Net Earnings Before Patronage Refund</t>
  </si>
  <si>
    <t>Patronage Refunds Received</t>
  </si>
  <si>
    <t>Local Savings Margin</t>
  </si>
  <si>
    <t>Local Savings</t>
  </si>
  <si>
    <t>Expense Ratios</t>
  </si>
  <si>
    <t>Personnel Cost/Gross Margin</t>
  </si>
  <si>
    <t>Fixed Expenses/Gross Margin</t>
  </si>
  <si>
    <t>Other Expense /Gross Margin</t>
  </si>
  <si>
    <t>Total Fixed Expense</t>
  </si>
  <si>
    <t>Total Other Expense</t>
  </si>
  <si>
    <t>Operating Expense to Sales</t>
  </si>
  <si>
    <t>Bad Debt/Sales</t>
  </si>
  <si>
    <t>Gross Margin on Grain and Farm Supply</t>
  </si>
  <si>
    <t>Balance Sheet</t>
  </si>
  <si>
    <t>Current Assets</t>
  </si>
  <si>
    <t>Cash</t>
  </si>
  <si>
    <t>Accounts Receivable</t>
  </si>
  <si>
    <t>Sales Contracts Recievable</t>
  </si>
  <si>
    <t>Accrued Storage</t>
  </si>
  <si>
    <t>Other Receivable</t>
  </si>
  <si>
    <t>Inventories</t>
  </si>
  <si>
    <t>Prepaid Expenses</t>
  </si>
  <si>
    <t>Total Current Assets</t>
  </si>
  <si>
    <t>Investments in Cooperatives</t>
  </si>
  <si>
    <t>Property Plant and Equipment at Cost</t>
  </si>
  <si>
    <t>Accumulated Depreciation</t>
  </si>
  <si>
    <t>Net Property Plant and Equipment</t>
  </si>
  <si>
    <t>Other Assets</t>
  </si>
  <si>
    <t>Total Assets</t>
  </si>
  <si>
    <t>Current Liabilities</t>
  </si>
  <si>
    <t>Accounts Payable</t>
  </si>
  <si>
    <t>Notes Payable</t>
  </si>
  <si>
    <t>Current Portion of Long Term Note</t>
  </si>
  <si>
    <t>Secured Operating Loan</t>
  </si>
  <si>
    <t>Trade</t>
  </si>
  <si>
    <t>Accrued Payables and Taxes</t>
  </si>
  <si>
    <t>Total Current Liabilities</t>
  </si>
  <si>
    <t>Deferred Taxes and Liabilities</t>
  </si>
  <si>
    <t>Long Term Debt, Excluding Current Portion</t>
  </si>
  <si>
    <t>Secured Note</t>
  </si>
  <si>
    <t>Total Long Term Debt</t>
  </si>
  <si>
    <t>Total Liabilities</t>
  </si>
  <si>
    <t>Members Equities</t>
  </si>
  <si>
    <t>Common Stock</t>
  </si>
  <si>
    <t>Allocated Patranage</t>
  </si>
  <si>
    <t>Unallocated Reserve</t>
  </si>
  <si>
    <t>Total Members Equity</t>
  </si>
  <si>
    <t>Total Liability and Equity</t>
  </si>
  <si>
    <t>Patron Refunds Payable</t>
  </si>
  <si>
    <t>Long-term Assets</t>
  </si>
  <si>
    <t>Total Local Assets</t>
  </si>
  <si>
    <t>local savings/local assets</t>
  </si>
  <si>
    <t>local savings/members equity</t>
  </si>
  <si>
    <t>Efficiency Ratios</t>
  </si>
  <si>
    <t>Total Asset Turnover</t>
  </si>
  <si>
    <t>Average Farm Supply Sales Outstanding</t>
  </si>
  <si>
    <t>Liquidity Ratios</t>
  </si>
  <si>
    <t>Working Capital</t>
  </si>
  <si>
    <t>1.5% grain sales + 2.5% of Farm supply sales</t>
  </si>
  <si>
    <t>Current Ratio</t>
  </si>
  <si>
    <t>Working Capital to Sales</t>
  </si>
  <si>
    <t>&gt; 7%</t>
  </si>
  <si>
    <t xml:space="preserve"> &gt; 4 to 5</t>
  </si>
  <si>
    <t>&lt; 35% for grain coops, 45% for Farm Supply</t>
  </si>
  <si>
    <t>Fixed Expenses</t>
  </si>
  <si>
    <t>&gt; 8%</t>
  </si>
  <si>
    <t>&gt; 10%</t>
  </si>
  <si>
    <t>Fixed Assets/Total Assets</t>
  </si>
  <si>
    <t>&lt; 33%</t>
  </si>
  <si>
    <t>&lt; .25%</t>
  </si>
  <si>
    <t>&gt; 1.5%</t>
  </si>
  <si>
    <t>&lt; 30 to 45 days</t>
  </si>
  <si>
    <t>Debt Ratios</t>
  </si>
  <si>
    <t>L.T. Debt/Net Worth-Investment in Coops</t>
  </si>
  <si>
    <t>&lt;30% to 40%</t>
  </si>
  <si>
    <t>Total Equity/Total Assets</t>
  </si>
  <si>
    <t>&gt; 1.5 Farm Supply,  2.0 Grain Coops</t>
  </si>
  <si>
    <t>&gt; 50-60%</t>
  </si>
  <si>
    <t>Assets</t>
  </si>
  <si>
    <t>Liabilities and Members Equity</t>
  </si>
  <si>
    <t>Statement of Income and Expenses</t>
  </si>
  <si>
    <t>Local Savings/Sales</t>
  </si>
  <si>
    <t>&lt; 10%</t>
  </si>
  <si>
    <t>STANDARD</t>
  </si>
  <si>
    <t>CALCULATION</t>
  </si>
  <si>
    <t>Sales/Total Assets</t>
  </si>
  <si>
    <t>Accounts Rec./Daily Farm Supply Sales</t>
  </si>
  <si>
    <t>Accounts over 60 days</t>
  </si>
  <si>
    <t>&lt; 20% over 60 days</t>
  </si>
  <si>
    <t>Farm supply inventory turnover</t>
  </si>
  <si>
    <t>Local Equity/Total Equity</t>
  </si>
  <si>
    <t>Total Assets/Sales</t>
  </si>
  <si>
    <t>&lt; 25-30</t>
  </si>
  <si>
    <t>&lt;25</t>
  </si>
  <si>
    <t>Min Trigger</t>
  </si>
  <si>
    <t>Max Trigger</t>
  </si>
  <si>
    <t>Notes Receivable</t>
  </si>
  <si>
    <t>Allowance for Doubtful</t>
  </si>
  <si>
    <t>Grain Inventory</t>
  </si>
  <si>
    <t>Farm Supply Inventory</t>
  </si>
  <si>
    <t>Prepaid income taxes</t>
  </si>
  <si>
    <t>Patronage dividends payable</t>
  </si>
  <si>
    <t>Costs of Goods Sold Grain</t>
  </si>
  <si>
    <t>Costs of Goods Sold Farm Supply</t>
  </si>
  <si>
    <t>Gross Margin Grain</t>
  </si>
  <si>
    <t>Gross Margin Farm Supply</t>
  </si>
  <si>
    <t>Finance Charge</t>
  </si>
  <si>
    <t>Other Income #1 (feed truck)</t>
  </si>
  <si>
    <t>Other Income #2 (misc)</t>
  </si>
  <si>
    <t>Gain (loss) on sale of fixed assets</t>
  </si>
  <si>
    <t>Other non-local income (expense)</t>
  </si>
  <si>
    <t>Ownership Ratio  ME/TA</t>
  </si>
  <si>
    <t>&lt; 50%</t>
  </si>
  <si>
    <t>Debt/Assets</t>
  </si>
  <si>
    <t>Debt/Equity</t>
  </si>
  <si>
    <t>Debt/Local Equity</t>
  </si>
  <si>
    <t>L.T. Debt/Total Equity</t>
  </si>
  <si>
    <t>&lt; 20%</t>
  </si>
  <si>
    <t>&gt; 7 to 10</t>
  </si>
  <si>
    <t xml:space="preserve">RATIO ANALYSIS FOR: </t>
  </si>
  <si>
    <t>Cooperative Name</t>
  </si>
  <si>
    <t>Case Study Cooperative</t>
  </si>
  <si>
    <t>&gt; 80%</t>
  </si>
  <si>
    <t>Average</t>
  </si>
  <si>
    <t>Working capital</t>
  </si>
  <si>
    <t>Working Capital Goal</t>
  </si>
  <si>
    <t>Financial Ratio Analysis Template for Cooperatives</t>
  </si>
  <si>
    <t xml:space="preserve">This template is designed to assist managers and board members </t>
  </si>
  <si>
    <t>in calculating and interpretating standard financial ratios.</t>
  </si>
  <si>
    <t>Up to five years of financial statement information can be</t>
  </si>
  <si>
    <t>entered on the income statement and balance sheet worksheets.</t>
  </si>
  <si>
    <t>The ratio worksheet calculates common financial ratios and provides</t>
  </si>
  <si>
    <t>Other sheets on the template provides graphs</t>
  </si>
  <si>
    <t>of the common ratios.</t>
  </si>
  <si>
    <t xml:space="preserve">Input information is entered in the green cells on the </t>
  </si>
  <si>
    <t>income statement and balance sheet pages.</t>
  </si>
  <si>
    <t>Triggers for red light green light analysis can be changed</t>
  </si>
  <si>
    <t>by turning off the protection on the worksheet.</t>
  </si>
  <si>
    <t>Calculation cells are protected.  The template can be</t>
  </si>
  <si>
    <t>modified by turning off the protection.  Before modifying the</t>
  </si>
  <si>
    <t>template you should save a master copy under a different file name.</t>
  </si>
  <si>
    <r>
      <t>industry benchmarks.  A "</t>
    </r>
    <r>
      <rPr>
        <sz val="10"/>
        <color indexed="10"/>
        <rFont val="Arial"/>
        <family val="2"/>
      </rPr>
      <t>red light</t>
    </r>
    <r>
      <rPr>
        <sz val="10"/>
        <rFont val="Arial"/>
        <family val="2"/>
      </rPr>
      <t>" "</t>
    </r>
    <r>
      <rPr>
        <sz val="10"/>
        <color indexed="17"/>
        <rFont val="Arial"/>
        <family val="2"/>
      </rPr>
      <t>green light</t>
    </r>
    <r>
      <rPr>
        <sz val="10"/>
        <rFont val="Arial"/>
        <family val="2"/>
      </rPr>
      <t>" analysis</t>
    </r>
  </si>
  <si>
    <r>
      <t>illustrates which ratios are unacceptable (</t>
    </r>
    <r>
      <rPr>
        <sz val="10"/>
        <color indexed="10"/>
        <rFont val="Arial"/>
        <family val="2"/>
      </rPr>
      <t>red light</t>
    </r>
    <r>
      <rPr>
        <sz val="10"/>
        <rFont val="Arial"/>
        <family val="2"/>
      </rPr>
      <t xml:space="preserve">) or </t>
    </r>
  </si>
  <si>
    <r>
      <t>exceeding standards (</t>
    </r>
    <r>
      <rPr>
        <sz val="10"/>
        <color indexed="17"/>
        <rFont val="Arial"/>
        <family val="2"/>
      </rPr>
      <t>green light</t>
    </r>
    <r>
      <rPr>
        <sz val="10"/>
        <rFont val="Arial"/>
        <family val="2"/>
      </rPr>
      <t>).  Calculated ratios</t>
    </r>
  </si>
  <si>
    <r>
      <t>close to industry standards do not trigger either a "</t>
    </r>
    <r>
      <rPr>
        <sz val="10"/>
        <color indexed="10"/>
        <rFont val="Arial"/>
        <family val="2"/>
      </rPr>
      <t>red light</t>
    </r>
    <r>
      <rPr>
        <sz val="10"/>
        <rFont val="Arial"/>
        <family val="2"/>
      </rPr>
      <t>"</t>
    </r>
  </si>
  <si>
    <r>
      <t>or a "</t>
    </r>
    <r>
      <rPr>
        <sz val="10"/>
        <color indexed="17"/>
        <rFont val="Arial"/>
        <family val="2"/>
      </rPr>
      <t>green light</t>
    </r>
    <r>
      <rPr>
        <sz val="10"/>
        <rFont val="Arial"/>
        <family val="2"/>
      </rPr>
      <t xml:space="preserve">". </t>
    </r>
  </si>
  <si>
    <t>input cell color</t>
  </si>
  <si>
    <t>Local Savings to Local Assets (ROA)</t>
  </si>
  <si>
    <t>Return on Local Equity (ROE)</t>
  </si>
  <si>
    <t>Gross Margin $</t>
  </si>
  <si>
    <t>Sales-COGS</t>
  </si>
  <si>
    <t>EBITDA</t>
  </si>
  <si>
    <t>EBITDA/(Int Exp + CMLTD)</t>
  </si>
  <si>
    <t>Profitability Analysis</t>
  </si>
  <si>
    <t>Net Earnings+Int Ext+Dep&amp;Amort+Tax</t>
  </si>
  <si>
    <t>&gt;1</t>
  </si>
  <si>
    <t>EBITDA/(Int Exp + Current Maturities LT Debt)</t>
  </si>
  <si>
    <t>L.T. Debt/Total Assets (TD/TC)</t>
  </si>
  <si>
    <t>Gross Margin Trend YOY</t>
  </si>
  <si>
    <t>% Change in GM$</t>
  </si>
  <si>
    <t>Total Profitability</t>
  </si>
  <si>
    <t>Total Expense</t>
  </si>
  <si>
    <t>Total Efficiency</t>
  </si>
  <si>
    <t>Total Liquidity</t>
  </si>
  <si>
    <t>Total Debt</t>
  </si>
  <si>
    <t>Favorable</t>
  </si>
  <si>
    <t>Unfavorable</t>
  </si>
  <si>
    <t>Neutral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</si>
</sst>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_([$SZL]\ * #,##0_);_([$SZL]\ * \(#,##0\);_([$SZL]\ * &quot;-&quot;_);_(@_)"/>
    <numFmt numFmtId="167" formatCode="[$SZL]\ #,##0_);\([$SZL]\ #,##0\)"/>
    <numFmt numFmtId="168" formatCode="[$SZL]\ 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0" fontId="2" fillId="0" borderId="0" xfId="0" applyFont="1"/>
    <xf numFmtId="10" fontId="0" fillId="0" borderId="0" xfId="2" applyNumberFormat="1" applyFont="1"/>
    <xf numFmtId="2" fontId="0" fillId="0" borderId="0" xfId="0" applyNumberFormat="1"/>
    <xf numFmtId="9" fontId="0" fillId="0" borderId="0" xfId="2" applyFont="1"/>
    <xf numFmtId="164" fontId="0" fillId="0" borderId="0" xfId="0" applyNumberFormat="1"/>
    <xf numFmtId="165" fontId="2" fillId="0" borderId="0" xfId="0" applyNumberFormat="1" applyFont="1"/>
    <xf numFmtId="0" fontId="3" fillId="0" borderId="0" xfId="0" applyFont="1"/>
    <xf numFmtId="10" fontId="0" fillId="0" borderId="0" xfId="2" applyNumberFormat="1" applyFont="1" applyFill="1"/>
    <xf numFmtId="2" fontId="0" fillId="0" borderId="0" xfId="0" applyNumberFormat="1" applyFill="1"/>
    <xf numFmtId="10" fontId="3" fillId="0" borderId="0" xfId="2" applyNumberFormat="1" applyFont="1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164" fontId="0" fillId="2" borderId="0" xfId="1" applyNumberFormat="1" applyFont="1" applyFill="1"/>
    <xf numFmtId="0" fontId="4" fillId="0" borderId="0" xfId="0" applyFont="1"/>
    <xf numFmtId="0" fontId="2" fillId="0" borderId="0" xfId="0" applyFont="1" applyProtection="1">
      <protection locked="0"/>
    </xf>
    <xf numFmtId="0" fontId="2" fillId="0" borderId="0" xfId="0" applyFont="1" applyProtection="1"/>
    <xf numFmtId="0" fontId="6" fillId="3" borderId="0" xfId="3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" fontId="0" fillId="0" borderId="1" xfId="2" applyNumberFormat="1" applyFont="1" applyBorder="1"/>
    <xf numFmtId="0" fontId="0" fillId="0" borderId="0" xfId="0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Fill="1" applyBorder="1"/>
    <xf numFmtId="166" fontId="0" fillId="0" borderId="0" xfId="2" applyNumberFormat="1" applyFont="1" applyFill="1"/>
    <xf numFmtId="166" fontId="0" fillId="0" borderId="0" xfId="2" applyNumberFormat="1" applyFont="1"/>
    <xf numFmtId="167" fontId="0" fillId="0" borderId="0" xfId="1" applyNumberFormat="1" applyFont="1"/>
    <xf numFmtId="167" fontId="0" fillId="0" borderId="1" xfId="1" applyNumberFormat="1" applyFont="1" applyBorder="1"/>
    <xf numFmtId="166" fontId="0" fillId="2" borderId="0" xfId="0" applyNumberFormat="1" applyFill="1"/>
    <xf numFmtId="166" fontId="0" fillId="2" borderId="0" xfId="1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2" fillId="0" borderId="0" xfId="0" applyNumberFormat="1" applyFont="1"/>
    <xf numFmtId="167" fontId="0" fillId="2" borderId="0" xfId="1" applyNumberFormat="1" applyFont="1" applyFill="1"/>
    <xf numFmtId="168" fontId="0" fillId="0" borderId="0" xfId="1" applyNumberFormat="1" applyFont="1"/>
    <xf numFmtId="168" fontId="0" fillId="2" borderId="0" xfId="1" applyNumberFormat="1" applyFont="1" applyFill="1"/>
    <xf numFmtId="168" fontId="0" fillId="0" borderId="0" xfId="1" applyNumberFormat="1" applyFont="1" applyFill="1" applyProtection="1">
      <protection locked="0"/>
    </xf>
    <xf numFmtId="168" fontId="0" fillId="0" borderId="0" xfId="0" applyNumberFormat="1"/>
    <xf numFmtId="168" fontId="2" fillId="0" borderId="0" xfId="0" applyNumberFormat="1" applyFont="1"/>
    <xf numFmtId="168" fontId="3" fillId="0" borderId="0" xfId="0" applyNumberFormat="1" applyFont="1"/>
    <xf numFmtId="168" fontId="3" fillId="2" borderId="0" xfId="0" applyNumberFormat="1" applyFont="1" applyFill="1"/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17092119866825"/>
          <c:y val="1.95758564437194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119866814650397E-2"/>
          <c:y val="0.11256117455138663"/>
          <c:w val="0.89678135405105441"/>
          <c:h val="0.77487765089722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ratios!$A$32</c:f>
              <c:strCache>
                <c:ptCount val="1"/>
                <c:pt idx="0">
                  <c:v>Working Capital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ratios!$B$2:$G$2</c:f>
              <c:strCache>
                <c:ptCount val="6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  <c:pt idx="4">
                  <c:v>2006</c:v>
                </c:pt>
                <c:pt idx="5">
                  <c:v>STANDARD</c:v>
                </c:pt>
              </c:strCache>
            </c:strRef>
          </c:cat>
          <c:val>
            <c:numRef>
              <c:f>ratios!$B$32:$G$32</c:f>
              <c:numCache>
                <c:formatCode>[$SZL]\ #,##0_);\([$SZL]\ #,##0\)</c:formatCode>
                <c:ptCount val="6"/>
                <c:pt idx="0">
                  <c:v>514589</c:v>
                </c:pt>
                <c:pt idx="1">
                  <c:v>380303</c:v>
                </c:pt>
                <c:pt idx="2">
                  <c:v>492289</c:v>
                </c:pt>
                <c:pt idx="3">
                  <c:v>532967</c:v>
                </c:pt>
                <c:pt idx="4">
                  <c:v>532967</c:v>
                </c:pt>
                <c:pt idx="5">
                  <c:v>500000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9365056"/>
        <c:axId val="329364664"/>
      </c:barChart>
      <c:catAx>
        <c:axId val="3293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6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364664"/>
        <c:scaling>
          <c:orientation val="minMax"/>
        </c:scaling>
        <c:delete val="0"/>
        <c:axPos val="l"/>
        <c:numFmt formatCode="[$SZL]\ #,##0_);\([$SZL]\ 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65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772475027746948"/>
          <c:y val="0.9559543230016313"/>
          <c:w val="0.12652608213096561"/>
          <c:h val="3.91517128874388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Expense Ratio</a:t>
            </a:r>
          </a:p>
        </c:rich>
      </c:tx>
      <c:layout>
        <c:manualLayout>
          <c:xMode val="edge"/>
          <c:yMode val="edge"/>
          <c:x val="0.435072142064373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7791342952274"/>
          <c:y val="0.2610114192495922"/>
          <c:w val="0.66481687014428426"/>
          <c:h val="0.66557911908646017"/>
        </c:manualLayout>
      </c:layout>
      <c:lineChart>
        <c:grouping val="standard"/>
        <c:varyColors val="0"/>
        <c:ser>
          <c:idx val="0"/>
          <c:order val="0"/>
          <c:tx>
            <c:strRef>
              <c:f>ratios!$A$15</c:f>
              <c:strCache>
                <c:ptCount val="1"/>
                <c:pt idx="0">
                  <c:v>Personnel Cost/Gross Margin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ratios!$B$15:$E$15</c:f>
              <c:numCache>
                <c:formatCode>0.00%</c:formatCode>
                <c:ptCount val="4"/>
                <c:pt idx="0">
                  <c:v>0.35672302346330492</c:v>
                </c:pt>
                <c:pt idx="1">
                  <c:v>0.44362094277680786</c:v>
                </c:pt>
                <c:pt idx="2">
                  <c:v>0.36359913388577603</c:v>
                </c:pt>
                <c:pt idx="3">
                  <c:v>0.33934193172102517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ratios!$A$16</c:f>
              <c:strCache>
                <c:ptCount val="1"/>
                <c:pt idx="0">
                  <c:v>Fixed Expenses/Gross Margin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ratios!$B$16:$E$16</c:f>
              <c:numCache>
                <c:formatCode>0.00%</c:formatCode>
                <c:ptCount val="4"/>
                <c:pt idx="0">
                  <c:v>0.56161034868509285</c:v>
                </c:pt>
                <c:pt idx="1">
                  <c:v>0.72852085543121869</c:v>
                </c:pt>
                <c:pt idx="2">
                  <c:v>0.61060603747354014</c:v>
                </c:pt>
                <c:pt idx="3">
                  <c:v>0.58723679588549915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ratios!$A$18</c:f>
              <c:strCache>
                <c:ptCount val="1"/>
                <c:pt idx="0">
                  <c:v>Operating Expense to Sales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ratios!$B$18:$E$18</c:f>
              <c:numCache>
                <c:formatCode>0.00%</c:formatCode>
                <c:ptCount val="4"/>
                <c:pt idx="0">
                  <c:v>0.12963465122500895</c:v>
                </c:pt>
                <c:pt idx="1">
                  <c:v>0.12347813533897169</c:v>
                </c:pt>
                <c:pt idx="2">
                  <c:v>0.17358553306937088</c:v>
                </c:pt>
                <c:pt idx="3">
                  <c:v>0.14491389386616157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ratios!$A$19</c:f>
              <c:strCache>
                <c:ptCount val="1"/>
                <c:pt idx="0">
                  <c:v>Bad Debt/Sales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ratios!$B$19:$E$19</c:f>
              <c:numCache>
                <c:formatCode>0.00%</c:formatCode>
                <c:ptCount val="4"/>
                <c:pt idx="0">
                  <c:v>6.4124166215296209E-3</c:v>
                </c:pt>
                <c:pt idx="1">
                  <c:v>7.7710063752140764E-3</c:v>
                </c:pt>
                <c:pt idx="2">
                  <c:v>8.8250528315182014E-3</c:v>
                </c:pt>
                <c:pt idx="3">
                  <c:v>9.9072516128180018E-3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ratios!$A$17</c:f>
              <c:strCache>
                <c:ptCount val="1"/>
                <c:pt idx="0">
                  <c:v>Other Expense /Gross Margin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ratios!$B$17:$E$17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4272"/>
        <c:axId val="327515360"/>
      </c:lineChart>
      <c:catAx>
        <c:axId val="32936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175360710321869"/>
              <c:y val="0.94616639477977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5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51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Percentages</a:t>
                </a:r>
              </a:p>
            </c:rich>
          </c:tx>
          <c:layout>
            <c:manualLayout>
              <c:xMode val="edge"/>
              <c:yMode val="edge"/>
              <c:x val="1.1098779134295227E-2"/>
              <c:y val="0.51876019575856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6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569367369589346"/>
          <c:y val="8.4828711256117448E-2"/>
          <c:w val="0.2386237513873474"/>
          <c:h val="0.17292006525285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Profitability</a:t>
            </a:r>
          </a:p>
        </c:rich>
      </c:tx>
      <c:layout>
        <c:manualLayout>
          <c:xMode val="edge"/>
          <c:yMode val="edge"/>
          <c:x val="0.44839067702552726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89012208657063E-2"/>
          <c:y val="0.30179445350734097"/>
          <c:w val="0.64483906770255273"/>
          <c:h val="0.62479608482871141"/>
        </c:manualLayout>
      </c:layout>
      <c:lineChart>
        <c:grouping val="standard"/>
        <c:varyColors val="0"/>
        <c:ser>
          <c:idx val="0"/>
          <c:order val="0"/>
          <c:tx>
            <c:strRef>
              <c:f>ratios!$A$15</c:f>
              <c:strCache>
                <c:ptCount val="1"/>
                <c:pt idx="0">
                  <c:v>Personnel Cost/Gross Margin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ratios!$B$15:$E$15</c:f>
              <c:numCache>
                <c:formatCode>0.00%</c:formatCode>
                <c:ptCount val="4"/>
                <c:pt idx="0">
                  <c:v>0.35672302346330492</c:v>
                </c:pt>
                <c:pt idx="1">
                  <c:v>0.44362094277680786</c:v>
                </c:pt>
                <c:pt idx="2">
                  <c:v>0.36359913388577603</c:v>
                </c:pt>
                <c:pt idx="3">
                  <c:v>0.33934193172102517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ratios!$A$16</c:f>
              <c:strCache>
                <c:ptCount val="1"/>
                <c:pt idx="0">
                  <c:v>Fixed Expenses/Gross Margin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ratios!$B$16:$E$16</c:f>
              <c:numCache>
                <c:formatCode>0.00%</c:formatCode>
                <c:ptCount val="4"/>
                <c:pt idx="0">
                  <c:v>0.56161034868509285</c:v>
                </c:pt>
                <c:pt idx="1">
                  <c:v>0.72852085543121869</c:v>
                </c:pt>
                <c:pt idx="2">
                  <c:v>0.61060603747354014</c:v>
                </c:pt>
                <c:pt idx="3">
                  <c:v>0.58723679588549915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ratios!$A$17</c:f>
              <c:strCache>
                <c:ptCount val="1"/>
                <c:pt idx="0">
                  <c:v>Other Expense /Gross Margin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ratios!$B$17:$E$17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ratios!$A$18</c:f>
              <c:strCache>
                <c:ptCount val="1"/>
                <c:pt idx="0">
                  <c:v>Operating Expense to Sales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ratios!$B$18:$E$18</c:f>
              <c:numCache>
                <c:formatCode>0.00%</c:formatCode>
                <c:ptCount val="4"/>
                <c:pt idx="0">
                  <c:v>0.12963465122500895</c:v>
                </c:pt>
                <c:pt idx="1">
                  <c:v>0.12347813533897169</c:v>
                </c:pt>
                <c:pt idx="2">
                  <c:v>0.17358553306937088</c:v>
                </c:pt>
                <c:pt idx="3">
                  <c:v>0.14491389386616157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ratios!$A$19</c:f>
              <c:strCache>
                <c:ptCount val="1"/>
                <c:pt idx="0">
                  <c:v>Bad Debt/Sales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ratios!$B$19:$E$19</c:f>
              <c:numCache>
                <c:formatCode>0.00%</c:formatCode>
                <c:ptCount val="4"/>
                <c:pt idx="0">
                  <c:v>6.4124166215296209E-3</c:v>
                </c:pt>
                <c:pt idx="1">
                  <c:v>7.7710063752140764E-3</c:v>
                </c:pt>
                <c:pt idx="2">
                  <c:v>8.8250528315182014E-3</c:v>
                </c:pt>
                <c:pt idx="3">
                  <c:v>9.9072516128180018E-3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514968"/>
        <c:axId val="327515752"/>
      </c:lineChart>
      <c:catAx>
        <c:axId val="327514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0399556048834628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515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515752"/>
        <c:scaling>
          <c:orientation val="minMax"/>
          <c:max val="0.7500000000000001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Percentages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546492659053833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514968"/>
        <c:crosses val="autoZero"/>
        <c:crossBetween val="between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7569367369589346"/>
          <c:y val="9.2985318107667206E-2"/>
          <c:w val="0.2386237513873474"/>
          <c:h val="0.17292006525285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Efficiency</a:t>
            </a:r>
          </a:p>
        </c:rich>
      </c:tx>
      <c:layout>
        <c:manualLayout>
          <c:xMode val="edge"/>
          <c:yMode val="edge"/>
          <c:x val="0.4550499445061042"/>
          <c:y val="1.9575856443719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26264274061990212"/>
          <c:w val="0.52719200887902329"/>
          <c:h val="0.65252854812398053"/>
        </c:manualLayout>
      </c:layout>
      <c:lineChart>
        <c:grouping val="standard"/>
        <c:varyColors val="0"/>
        <c:ser>
          <c:idx val="0"/>
          <c:order val="0"/>
          <c:tx>
            <c:strRef>
              <c:f>ratios!$A$23</c:f>
              <c:strCache>
                <c:ptCount val="1"/>
                <c:pt idx="0">
                  <c:v>Total Asset Turnover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ratios!$B$23:$E$23</c:f>
              <c:numCache>
                <c:formatCode>0.00</c:formatCode>
                <c:ptCount val="4"/>
                <c:pt idx="0">
                  <c:v>2.1992930776006525</c:v>
                </c:pt>
                <c:pt idx="1">
                  <c:v>3.9900992625150598</c:v>
                </c:pt>
                <c:pt idx="2">
                  <c:v>1.7477477452281174</c:v>
                </c:pt>
                <c:pt idx="3">
                  <c:v>2.4072744183899415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ratios!$A$24</c:f>
              <c:strCache>
                <c:ptCount val="1"/>
                <c:pt idx="0">
                  <c:v>Total Assets/Sales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ratios!$B$24:$E$24</c:f>
              <c:numCache>
                <c:formatCode>0.00%</c:formatCode>
                <c:ptCount val="4"/>
                <c:pt idx="0">
                  <c:v>0.45469155984020243</c:v>
                </c:pt>
                <c:pt idx="1">
                  <c:v>0.25062033152771113</c:v>
                </c:pt>
                <c:pt idx="2">
                  <c:v>0.57216494927846651</c:v>
                </c:pt>
                <c:pt idx="3">
                  <c:v>0.41540756315967936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ratios!$A$25</c:f>
              <c:strCache>
                <c:ptCount val="1"/>
                <c:pt idx="0">
                  <c:v>Farm supply inventory turnover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ratios!$B$25:$E$25</c:f>
              <c:numCache>
                <c:formatCode>0.00</c:formatCode>
                <c:ptCount val="4"/>
                <c:pt idx="0">
                  <c:v>9.5690267427712001</c:v>
                </c:pt>
                <c:pt idx="1">
                  <c:v>9.7889926241043455</c:v>
                </c:pt>
                <c:pt idx="2">
                  <c:v>9.7676511152958643</c:v>
                </c:pt>
                <c:pt idx="3">
                  <c:v>8.2547590294115238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ratios!$A$26</c:f>
              <c:strCache>
                <c:ptCount val="1"/>
                <c:pt idx="0">
                  <c:v>Average Farm Supply Sales Outstanding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ratios!$B$26:$E$26</c:f>
              <c:numCache>
                <c:formatCode>0.00</c:formatCode>
                <c:ptCount val="4"/>
                <c:pt idx="0">
                  <c:v>44.937246999466545</c:v>
                </c:pt>
                <c:pt idx="1">
                  <c:v>45.006964017251633</c:v>
                </c:pt>
                <c:pt idx="2">
                  <c:v>34.868275903736325</c:v>
                </c:pt>
                <c:pt idx="3">
                  <c:v>29.912023605678179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ratios!$A$28</c:f>
              <c:strCache>
                <c:ptCount val="1"/>
                <c:pt idx="0">
                  <c:v>Fixed Assets/Total Assets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ratios!$B$2:$E$2</c:f>
              <c:numCache>
                <c:formatCode>General</c:formatCode>
                <c:ptCount val="4"/>
                <c:pt idx="0">
                  <c:v>2010</c:v>
                </c:pt>
                <c:pt idx="1">
                  <c:v>2009</c:v>
                </c:pt>
                <c:pt idx="2">
                  <c:v>2008</c:v>
                </c:pt>
                <c:pt idx="3">
                  <c:v>2007</c:v>
                </c:pt>
              </c:numCache>
            </c:numRef>
          </c:cat>
          <c:val>
            <c:numRef>
              <c:f>ratios!$B$28:$E$28</c:f>
              <c:numCache>
                <c:formatCode>0.00%</c:formatCode>
                <c:ptCount val="4"/>
                <c:pt idx="0">
                  <c:v>0.18172722528844473</c:v>
                </c:pt>
                <c:pt idx="1">
                  <c:v>0.37130381836784643</c:v>
                </c:pt>
                <c:pt idx="2">
                  <c:v>0.28127062632427996</c:v>
                </c:pt>
                <c:pt idx="3">
                  <c:v>0.3345523800730929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03592"/>
        <c:axId val="318710168"/>
      </c:lineChart>
      <c:catAx>
        <c:axId val="35990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32963374028856829"/>
              <c:y val="0.9624796084828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71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710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Percentages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522022838499184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903592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45394006659266"/>
          <c:y val="8.1566068515497595E-2"/>
          <c:w val="0.30410654827968936"/>
          <c:h val="0.17292006525285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4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4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45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9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9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9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79966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showRowColHeaders="0" tabSelected="1" workbookViewId="0">
      <selection activeCell="A3" sqref="A3"/>
    </sheetView>
  </sheetViews>
  <sheetFormatPr defaultRowHeight="12.75" x14ac:dyDescent="0.2"/>
  <cols>
    <col min="1" max="1" width="41" customWidth="1"/>
  </cols>
  <sheetData>
    <row r="1" spans="1:3" x14ac:dyDescent="0.2">
      <c r="A1" s="2" t="s">
        <v>155</v>
      </c>
    </row>
    <row r="3" spans="1:3" x14ac:dyDescent="0.2">
      <c r="A3" t="s">
        <v>156</v>
      </c>
    </row>
    <row r="4" spans="1:3" x14ac:dyDescent="0.2">
      <c r="A4" t="s">
        <v>157</v>
      </c>
    </row>
    <row r="5" spans="1:3" x14ac:dyDescent="0.2">
      <c r="A5" t="s">
        <v>158</v>
      </c>
    </row>
    <row r="6" spans="1:3" x14ac:dyDescent="0.2">
      <c r="A6" t="s">
        <v>159</v>
      </c>
    </row>
    <row r="7" spans="1:3" x14ac:dyDescent="0.2">
      <c r="A7" t="s">
        <v>160</v>
      </c>
    </row>
    <row r="8" spans="1:3" x14ac:dyDescent="0.2">
      <c r="A8" t="s">
        <v>170</v>
      </c>
    </row>
    <row r="9" spans="1:3" x14ac:dyDescent="0.2">
      <c r="A9" t="s">
        <v>171</v>
      </c>
    </row>
    <row r="10" spans="1:3" x14ac:dyDescent="0.2">
      <c r="A10" t="s">
        <v>172</v>
      </c>
    </row>
    <row r="11" spans="1:3" x14ac:dyDescent="0.2">
      <c r="A11" t="s">
        <v>173</v>
      </c>
    </row>
    <row r="12" spans="1:3" x14ac:dyDescent="0.2">
      <c r="A12" t="s">
        <v>174</v>
      </c>
    </row>
    <row r="13" spans="1:3" x14ac:dyDescent="0.2">
      <c r="A13" t="s">
        <v>161</v>
      </c>
    </row>
    <row r="14" spans="1:3" x14ac:dyDescent="0.2">
      <c r="A14" t="s">
        <v>162</v>
      </c>
    </row>
    <row r="15" spans="1:3" x14ac:dyDescent="0.2">
      <c r="C15" t="s">
        <v>175</v>
      </c>
    </row>
    <row r="16" spans="1:3" x14ac:dyDescent="0.2">
      <c r="A16" t="s">
        <v>163</v>
      </c>
      <c r="C16" s="13"/>
    </row>
    <row r="17" spans="1:1" x14ac:dyDescent="0.2">
      <c r="A17" t="s">
        <v>164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60" sqref="F60"/>
    </sheetView>
  </sheetViews>
  <sheetFormatPr defaultRowHeight="12.75" x14ac:dyDescent="0.2"/>
  <cols>
    <col min="1" max="1" width="37.5703125" customWidth="1"/>
    <col min="2" max="2" width="15.85546875" customWidth="1"/>
    <col min="3" max="3" width="16.42578125" customWidth="1"/>
    <col min="4" max="4" width="15.7109375" bestFit="1" customWidth="1"/>
    <col min="5" max="6" width="15.42578125" customWidth="1"/>
    <col min="7" max="7" width="11.28515625" bestFit="1" customWidth="1"/>
  </cols>
  <sheetData>
    <row r="1" spans="1:7" x14ac:dyDescent="0.2">
      <c r="A1" t="s">
        <v>149</v>
      </c>
      <c r="B1" s="12" t="s">
        <v>150</v>
      </c>
      <c r="C1" s="13"/>
      <c r="D1" s="17"/>
    </row>
    <row r="2" spans="1:7" x14ac:dyDescent="0.2">
      <c r="A2" s="2" t="s">
        <v>109</v>
      </c>
      <c r="B2" s="2"/>
      <c r="C2" s="2"/>
      <c r="D2" s="2"/>
      <c r="F2" s="2"/>
    </row>
    <row r="3" spans="1:7" ht="15" x14ac:dyDescent="0.25">
      <c r="B3" s="19">
        <v>2010</v>
      </c>
      <c r="C3" s="2">
        <f>B3-1</f>
        <v>2009</v>
      </c>
      <c r="D3" s="2">
        <f t="shared" ref="D3:F3" si="0">C3-1</f>
        <v>2008</v>
      </c>
      <c r="E3" s="2">
        <f t="shared" si="0"/>
        <v>2007</v>
      </c>
      <c r="F3" s="2">
        <f t="shared" si="0"/>
        <v>2006</v>
      </c>
      <c r="G3" t="s">
        <v>152</v>
      </c>
    </row>
    <row r="4" spans="1:7" x14ac:dyDescent="0.2">
      <c r="A4" s="2" t="s">
        <v>0</v>
      </c>
      <c r="B4" s="2"/>
      <c r="C4" s="2"/>
      <c r="D4" s="2"/>
    </row>
    <row r="5" spans="1:7" x14ac:dyDescent="0.2">
      <c r="A5" t="s">
        <v>1</v>
      </c>
      <c r="B5" s="14">
        <v>5156395</v>
      </c>
      <c r="C5" s="14">
        <v>5881151</v>
      </c>
      <c r="D5" s="14">
        <v>3302963</v>
      </c>
      <c r="E5" s="15">
        <v>4689774</v>
      </c>
      <c r="F5" s="15">
        <v>4689774</v>
      </c>
      <c r="G5" s="6">
        <f>AVERAGE(B5:F5)</f>
        <v>4744011.4000000004</v>
      </c>
    </row>
    <row r="6" spans="1:7" x14ac:dyDescent="0.2">
      <c r="A6" t="s">
        <v>4</v>
      </c>
      <c r="B6" s="15">
        <v>3664765</v>
      </c>
      <c r="C6" s="15">
        <v>3345770</v>
      </c>
      <c r="D6" s="15">
        <v>2946158</v>
      </c>
      <c r="E6" s="15">
        <v>3028085</v>
      </c>
      <c r="F6" s="15">
        <v>3028085</v>
      </c>
      <c r="G6" s="6">
        <f>AVERAGE(B6:F6)</f>
        <v>3202572.6</v>
      </c>
    </row>
    <row r="7" spans="1:7" x14ac:dyDescent="0.2">
      <c r="A7" s="2" t="s">
        <v>2</v>
      </c>
      <c r="B7" s="37">
        <f t="shared" ref="B7:G7" si="1">+B5+B6</f>
        <v>8821160</v>
      </c>
      <c r="C7" s="37">
        <f t="shared" si="1"/>
        <v>9226921</v>
      </c>
      <c r="D7" s="37">
        <f t="shared" si="1"/>
        <v>6249121</v>
      </c>
      <c r="E7" s="37">
        <f t="shared" si="1"/>
        <v>7717859</v>
      </c>
      <c r="F7" s="37">
        <f t="shared" si="1"/>
        <v>7717859</v>
      </c>
      <c r="G7" s="1">
        <f t="shared" si="1"/>
        <v>7946584</v>
      </c>
    </row>
    <row r="8" spans="1:7" x14ac:dyDescent="0.2">
      <c r="A8" s="8" t="s">
        <v>131</v>
      </c>
      <c r="B8" s="38">
        <v>4686341</v>
      </c>
      <c r="C8" s="38">
        <v>5604171</v>
      </c>
      <c r="D8" s="38">
        <v>2925217</v>
      </c>
      <c r="E8" s="38">
        <v>4183877</v>
      </c>
      <c r="F8" s="38">
        <v>4000000</v>
      </c>
    </row>
    <row r="9" spans="1:7" x14ac:dyDescent="0.2">
      <c r="A9" t="s">
        <v>132</v>
      </c>
      <c r="B9" s="38">
        <v>3202767</v>
      </c>
      <c r="C9" s="38">
        <v>2956050</v>
      </c>
      <c r="D9" s="38">
        <v>2616553</v>
      </c>
      <c r="E9" s="38">
        <v>2697462</v>
      </c>
      <c r="F9" s="38">
        <v>2000000</v>
      </c>
    </row>
    <row r="10" spans="1:7" x14ac:dyDescent="0.2">
      <c r="A10" t="s">
        <v>133</v>
      </c>
      <c r="B10" s="39">
        <f t="shared" ref="B10:F11" si="2">+B5-B8</f>
        <v>470054</v>
      </c>
      <c r="C10" s="39">
        <f t="shared" si="2"/>
        <v>276980</v>
      </c>
      <c r="D10" s="39">
        <f t="shared" si="2"/>
        <v>377746</v>
      </c>
      <c r="E10" s="39">
        <f t="shared" si="2"/>
        <v>505897</v>
      </c>
      <c r="F10" s="39">
        <f t="shared" si="2"/>
        <v>689774</v>
      </c>
    </row>
    <row r="11" spans="1:7" x14ac:dyDescent="0.2">
      <c r="A11" t="s">
        <v>134</v>
      </c>
      <c r="B11" s="39">
        <f t="shared" si="2"/>
        <v>461998</v>
      </c>
      <c r="C11" s="39">
        <f t="shared" si="2"/>
        <v>389720</v>
      </c>
      <c r="D11" s="39">
        <f t="shared" si="2"/>
        <v>329605</v>
      </c>
      <c r="E11" s="39">
        <f t="shared" si="2"/>
        <v>330623</v>
      </c>
      <c r="F11" s="39">
        <f t="shared" si="2"/>
        <v>1028085</v>
      </c>
    </row>
    <row r="12" spans="1:7" x14ac:dyDescent="0.2">
      <c r="A12" s="2" t="s">
        <v>41</v>
      </c>
      <c r="B12" s="37">
        <f>+B10+B11</f>
        <v>932052</v>
      </c>
      <c r="C12" s="37">
        <f>+C10+C11</f>
        <v>666700</v>
      </c>
      <c r="D12" s="37">
        <f>+D10+D11</f>
        <v>707351</v>
      </c>
      <c r="E12" s="37">
        <f>+E10+E11</f>
        <v>836520</v>
      </c>
      <c r="F12" s="37">
        <f>+F10+F11</f>
        <v>1717859</v>
      </c>
    </row>
    <row r="13" spans="1:7" x14ac:dyDescent="0.2">
      <c r="B13" s="40"/>
      <c r="C13" s="40"/>
      <c r="D13" s="40"/>
      <c r="E13" s="37"/>
      <c r="F13" s="37"/>
    </row>
    <row r="14" spans="1:7" x14ac:dyDescent="0.2">
      <c r="A14" s="2" t="s">
        <v>3</v>
      </c>
      <c r="B14" s="41"/>
      <c r="C14" s="41"/>
      <c r="D14" s="41"/>
      <c r="E14" s="37"/>
      <c r="F14" s="37"/>
    </row>
    <row r="15" spans="1:7" x14ac:dyDescent="0.2">
      <c r="A15" t="s">
        <v>5</v>
      </c>
      <c r="B15" s="38">
        <v>73886</v>
      </c>
      <c r="C15" s="38">
        <v>56888</v>
      </c>
      <c r="D15" s="38">
        <v>108413</v>
      </c>
      <c r="E15" s="38">
        <v>86554</v>
      </c>
      <c r="F15" s="38">
        <v>86554</v>
      </c>
    </row>
    <row r="16" spans="1:7" x14ac:dyDescent="0.2">
      <c r="A16" t="s">
        <v>6</v>
      </c>
      <c r="B16" s="38"/>
      <c r="C16" s="38">
        <v>33</v>
      </c>
      <c r="D16" s="38">
        <v>7310</v>
      </c>
      <c r="E16" s="38">
        <v>45911</v>
      </c>
      <c r="F16" s="38">
        <v>45911</v>
      </c>
    </row>
    <row r="17" spans="1:6" x14ac:dyDescent="0.2">
      <c r="A17" t="s">
        <v>7</v>
      </c>
      <c r="B17" s="38">
        <v>182641</v>
      </c>
      <c r="C17" s="38">
        <v>187928</v>
      </c>
      <c r="D17" s="38">
        <v>215338</v>
      </c>
      <c r="E17" s="38">
        <v>157839</v>
      </c>
      <c r="F17" s="38">
        <v>157839</v>
      </c>
    </row>
    <row r="18" spans="1:6" x14ac:dyDescent="0.2">
      <c r="A18" t="s">
        <v>9</v>
      </c>
      <c r="B18" s="38">
        <v>28686</v>
      </c>
      <c r="C18" s="38">
        <v>31687</v>
      </c>
      <c r="D18" s="38">
        <v>40667</v>
      </c>
      <c r="E18" s="38">
        <v>39685</v>
      </c>
      <c r="F18" s="38">
        <v>39685</v>
      </c>
    </row>
    <row r="19" spans="1:6" x14ac:dyDescent="0.2">
      <c r="A19" t="s">
        <v>135</v>
      </c>
      <c r="B19" s="38">
        <v>24051</v>
      </c>
      <c r="C19" s="38">
        <v>21315</v>
      </c>
      <c r="D19" s="38">
        <v>20588</v>
      </c>
      <c r="E19" s="38">
        <v>23274</v>
      </c>
      <c r="F19" s="38">
        <v>23274</v>
      </c>
    </row>
    <row r="20" spans="1:6" x14ac:dyDescent="0.2">
      <c r="A20" t="s">
        <v>136</v>
      </c>
      <c r="B20" s="38">
        <v>1038</v>
      </c>
      <c r="C20" s="38">
        <v>1065</v>
      </c>
      <c r="D20" s="38">
        <f>3596+9074</f>
        <v>12670</v>
      </c>
      <c r="E20" s="38">
        <v>12362</v>
      </c>
      <c r="F20" s="38">
        <v>12362</v>
      </c>
    </row>
    <row r="21" spans="1:6" x14ac:dyDescent="0.2">
      <c r="A21" t="s">
        <v>137</v>
      </c>
      <c r="B21" s="38">
        <v>2867</v>
      </c>
      <c r="C21" s="38">
        <v>1215</v>
      </c>
      <c r="D21" s="38">
        <v>922</v>
      </c>
      <c r="E21" s="38">
        <v>6290</v>
      </c>
      <c r="F21" s="38">
        <v>6290</v>
      </c>
    </row>
    <row r="22" spans="1:6" x14ac:dyDescent="0.2">
      <c r="A22" t="s">
        <v>138</v>
      </c>
      <c r="B22" s="38"/>
      <c r="C22" s="38">
        <v>5170</v>
      </c>
      <c r="D22" s="38">
        <v>220</v>
      </c>
      <c r="E22" s="38">
        <v>-1387</v>
      </c>
      <c r="F22" s="38">
        <v>-1387</v>
      </c>
    </row>
    <row r="23" spans="1:6" x14ac:dyDescent="0.2">
      <c r="A23" s="2" t="s">
        <v>8</v>
      </c>
      <c r="B23" s="42">
        <f>SUM(B15:B21)</f>
        <v>313169</v>
      </c>
      <c r="C23" s="42">
        <f>SUM(C15:C22)</f>
        <v>305301</v>
      </c>
      <c r="D23" s="42">
        <f>SUM(D15:D22)</f>
        <v>406128</v>
      </c>
      <c r="E23" s="37">
        <f>SUM(E14:E22)</f>
        <v>370528</v>
      </c>
      <c r="F23" s="37">
        <f>SUM(F14:F21)</f>
        <v>371915</v>
      </c>
    </row>
    <row r="24" spans="1:6" x14ac:dyDescent="0.2">
      <c r="B24" s="40"/>
      <c r="C24" s="40"/>
      <c r="D24" s="40"/>
      <c r="E24" s="37"/>
      <c r="F24" s="37"/>
    </row>
    <row r="25" spans="1:6" x14ac:dyDescent="0.2">
      <c r="A25" s="2" t="s">
        <v>10</v>
      </c>
      <c r="B25" s="42">
        <f>B23+B12</f>
        <v>1245221</v>
      </c>
      <c r="C25" s="42">
        <f>C23+C12</f>
        <v>972001</v>
      </c>
      <c r="D25" s="42">
        <f>D23+D12</f>
        <v>1113479</v>
      </c>
      <c r="E25" s="37">
        <f>+E12+E23</f>
        <v>1207048</v>
      </c>
      <c r="F25" s="37">
        <f>+F12+F23</f>
        <v>2089774</v>
      </c>
    </row>
    <row r="26" spans="1:6" x14ac:dyDescent="0.2">
      <c r="B26" s="40"/>
      <c r="C26" s="40"/>
      <c r="D26" s="40"/>
      <c r="E26" s="37"/>
      <c r="F26" s="37"/>
    </row>
    <row r="27" spans="1:6" x14ac:dyDescent="0.2">
      <c r="A27" s="2" t="s">
        <v>11</v>
      </c>
      <c r="B27" s="41"/>
      <c r="C27" s="41"/>
      <c r="D27" s="41"/>
      <c r="E27" s="37"/>
      <c r="F27" s="37"/>
    </row>
    <row r="28" spans="1:6" x14ac:dyDescent="0.2">
      <c r="A28" t="s">
        <v>12</v>
      </c>
      <c r="B28" s="38">
        <v>444199</v>
      </c>
      <c r="C28" s="38">
        <v>431200</v>
      </c>
      <c r="D28" s="38">
        <v>404860</v>
      </c>
      <c r="E28" s="38">
        <v>409602</v>
      </c>
      <c r="F28" s="38">
        <v>409602</v>
      </c>
    </row>
    <row r="29" spans="1:6" x14ac:dyDescent="0.2">
      <c r="A29" s="2" t="s">
        <v>93</v>
      </c>
      <c r="B29" s="41"/>
      <c r="C29" s="41"/>
      <c r="D29" s="41"/>
      <c r="E29" s="37"/>
      <c r="F29" s="37"/>
    </row>
    <row r="30" spans="1:6" x14ac:dyDescent="0.2">
      <c r="A30" t="s">
        <v>13</v>
      </c>
      <c r="B30" s="38">
        <v>156948</v>
      </c>
      <c r="C30" s="38">
        <v>177105</v>
      </c>
      <c r="D30" s="38">
        <v>177140</v>
      </c>
      <c r="E30" s="38">
        <v>177070</v>
      </c>
      <c r="F30" s="38">
        <v>177070</v>
      </c>
    </row>
    <row r="31" spans="1:6" x14ac:dyDescent="0.2">
      <c r="A31" t="s">
        <v>14</v>
      </c>
      <c r="B31" s="38">
        <v>512382</v>
      </c>
      <c r="C31" s="38">
        <v>499665</v>
      </c>
      <c r="D31" s="38">
        <v>469767</v>
      </c>
      <c r="E31" s="38">
        <v>502189</v>
      </c>
      <c r="F31" s="38">
        <v>502189</v>
      </c>
    </row>
    <row r="32" spans="1:6" x14ac:dyDescent="0.2">
      <c r="A32" t="s">
        <v>15</v>
      </c>
      <c r="B32" s="38"/>
      <c r="C32" s="38"/>
      <c r="D32" s="38"/>
      <c r="E32" s="38"/>
      <c r="F32" s="38"/>
    </row>
    <row r="33" spans="1:6" x14ac:dyDescent="0.2">
      <c r="A33" t="s">
        <v>16</v>
      </c>
      <c r="B33" s="38">
        <v>29999</v>
      </c>
      <c r="C33" s="38">
        <v>31353</v>
      </c>
      <c r="D33" s="38">
        <v>32990</v>
      </c>
      <c r="E33" s="38">
        <v>29564</v>
      </c>
      <c r="F33" s="38">
        <v>29564</v>
      </c>
    </row>
    <row r="34" spans="1:6" x14ac:dyDescent="0.2">
      <c r="A34" s="2" t="s">
        <v>37</v>
      </c>
      <c r="B34" s="42">
        <f>SUM(B30:B33)</f>
        <v>699329</v>
      </c>
      <c r="C34" s="42">
        <f>SUM(C30:C33)</f>
        <v>708123</v>
      </c>
      <c r="D34" s="42">
        <f>SUM(D30:D33)</f>
        <v>679897</v>
      </c>
      <c r="E34" s="37">
        <f>SUM(E30:E33)</f>
        <v>708823</v>
      </c>
      <c r="F34" s="37">
        <f>SUM(F30:F33)</f>
        <v>708823</v>
      </c>
    </row>
    <row r="35" spans="1:6" x14ac:dyDescent="0.2">
      <c r="A35" t="s">
        <v>17</v>
      </c>
      <c r="B35" s="43"/>
      <c r="C35" s="43"/>
      <c r="D35" s="43"/>
      <c r="E35" s="38"/>
      <c r="F35" s="38"/>
    </row>
    <row r="36" spans="1:6" x14ac:dyDescent="0.2">
      <c r="A36" t="s">
        <v>18</v>
      </c>
      <c r="B36" s="43"/>
      <c r="C36" s="43"/>
      <c r="D36" s="43"/>
      <c r="E36" s="38"/>
      <c r="F36" s="38"/>
    </row>
    <row r="37" spans="1:6" x14ac:dyDescent="0.2">
      <c r="A37" t="s">
        <v>19</v>
      </c>
      <c r="B37" s="43"/>
      <c r="C37" s="43"/>
      <c r="D37" s="43"/>
      <c r="E37" s="38"/>
      <c r="F37" s="38"/>
    </row>
    <row r="38" spans="1:6" x14ac:dyDescent="0.2">
      <c r="A38" t="s">
        <v>20</v>
      </c>
      <c r="B38" s="43"/>
      <c r="C38" s="43"/>
      <c r="D38" s="43"/>
      <c r="E38" s="38"/>
      <c r="F38" s="38"/>
    </row>
    <row r="39" spans="1:6" x14ac:dyDescent="0.2">
      <c r="A39" t="s">
        <v>21</v>
      </c>
      <c r="B39" s="43"/>
      <c r="C39" s="43"/>
      <c r="D39" s="43"/>
      <c r="E39" s="38"/>
      <c r="F39" s="38"/>
    </row>
    <row r="40" spans="1:6" x14ac:dyDescent="0.2">
      <c r="A40" t="s">
        <v>22</v>
      </c>
      <c r="B40" s="43"/>
      <c r="C40" s="43"/>
      <c r="D40" s="43"/>
      <c r="E40" s="38"/>
      <c r="F40" s="38"/>
    </row>
    <row r="41" spans="1:6" x14ac:dyDescent="0.2">
      <c r="A41" t="s">
        <v>23</v>
      </c>
      <c r="B41" s="43">
        <f>+'balance sheet'!D7</f>
        <v>-23500</v>
      </c>
      <c r="C41" s="43">
        <f>+'balance sheet'!E7</f>
        <v>-26000</v>
      </c>
      <c r="D41" s="43">
        <f>+'balance sheet'!F7</f>
        <v>-26000</v>
      </c>
      <c r="E41" s="43">
        <f>+'balance sheet'!G7</f>
        <v>-30000</v>
      </c>
      <c r="F41" s="43">
        <f>+'balance sheet'!H7</f>
        <v>-30000</v>
      </c>
    </row>
    <row r="42" spans="1:6" x14ac:dyDescent="0.2">
      <c r="A42" t="s">
        <v>24</v>
      </c>
      <c r="B42" s="43"/>
      <c r="C42" s="43"/>
      <c r="D42" s="43"/>
      <c r="E42" s="38"/>
      <c r="F42" s="38"/>
    </row>
    <row r="43" spans="1:6" x14ac:dyDescent="0.2">
      <c r="A43" t="s">
        <v>25</v>
      </c>
      <c r="B43" s="43"/>
      <c r="C43" s="43"/>
      <c r="D43" s="43"/>
      <c r="E43" s="38"/>
      <c r="F43" s="38"/>
    </row>
    <row r="44" spans="1:6" x14ac:dyDescent="0.2">
      <c r="A44" t="s">
        <v>38</v>
      </c>
      <c r="B44" s="43"/>
      <c r="C44" s="43"/>
      <c r="D44" s="43"/>
      <c r="E44" s="38"/>
      <c r="F44" s="38"/>
    </row>
    <row r="45" spans="1:6" x14ac:dyDescent="0.2">
      <c r="A45" s="2" t="s">
        <v>26</v>
      </c>
      <c r="B45" s="37">
        <f>+B28+B34+B44</f>
        <v>1143528</v>
      </c>
      <c r="C45" s="37">
        <f>+C28+C34+C44</f>
        <v>1139323</v>
      </c>
      <c r="D45" s="37">
        <f>+D28+D34+D44</f>
        <v>1084757</v>
      </c>
      <c r="E45" s="37">
        <f>+E28+E34+E44</f>
        <v>1118425</v>
      </c>
      <c r="F45" s="37">
        <f>+F28+F34+F44</f>
        <v>1118425</v>
      </c>
    </row>
    <row r="46" spans="1:6" x14ac:dyDescent="0.2">
      <c r="B46" s="40"/>
      <c r="C46" s="40"/>
      <c r="D46" s="40"/>
      <c r="E46" s="37"/>
      <c r="F46" s="37"/>
    </row>
    <row r="47" spans="1:6" x14ac:dyDescent="0.2">
      <c r="A47" s="2" t="s">
        <v>32</v>
      </c>
      <c r="B47" s="37">
        <f>+B25-B45</f>
        <v>101693</v>
      </c>
      <c r="C47" s="37">
        <f>+C25-C45</f>
        <v>-167322</v>
      </c>
      <c r="D47" s="37">
        <f>+D25-D45</f>
        <v>28722</v>
      </c>
      <c r="E47" s="37">
        <f>+E25-E45</f>
        <v>88623</v>
      </c>
      <c r="F47" s="37">
        <f>+F25-F45</f>
        <v>971349</v>
      </c>
    </row>
    <row r="48" spans="1:6" x14ac:dyDescent="0.2">
      <c r="A48" t="s">
        <v>30</v>
      </c>
      <c r="B48" s="38">
        <v>47769</v>
      </c>
      <c r="C48" s="38">
        <v>43012</v>
      </c>
      <c r="D48" s="38">
        <v>45951</v>
      </c>
      <c r="E48" s="38">
        <v>16508</v>
      </c>
      <c r="F48" s="38">
        <v>16508</v>
      </c>
    </row>
    <row r="49" spans="1:6" x14ac:dyDescent="0.2">
      <c r="A49" t="s">
        <v>139</v>
      </c>
      <c r="B49" s="38">
        <v>10233</v>
      </c>
      <c r="C49" s="38">
        <v>9474</v>
      </c>
      <c r="D49" s="38">
        <f>-119421-7822</f>
        <v>-127243</v>
      </c>
      <c r="E49" s="38">
        <v>-49985</v>
      </c>
      <c r="F49" s="38">
        <v>-49985</v>
      </c>
    </row>
    <row r="50" spans="1:6" x14ac:dyDescent="0.2">
      <c r="A50" s="2" t="s">
        <v>27</v>
      </c>
      <c r="B50" s="37">
        <f>+B47+B48+B49</f>
        <v>159695</v>
      </c>
      <c r="C50" s="37">
        <f>+C47+C48+C49</f>
        <v>-114836</v>
      </c>
      <c r="D50" s="37">
        <f>+D47+D48+D49</f>
        <v>-52570</v>
      </c>
      <c r="E50" s="37">
        <f>+E47+E48+E49</f>
        <v>55146</v>
      </c>
      <c r="F50" s="37">
        <f>+F47+F48+F49</f>
        <v>937872</v>
      </c>
    </row>
    <row r="51" spans="1:6" x14ac:dyDescent="0.2">
      <c r="B51" s="40"/>
      <c r="C51" s="40"/>
      <c r="D51" s="40"/>
      <c r="E51" s="37"/>
      <c r="F51" s="37"/>
    </row>
    <row r="52" spans="1:6" x14ac:dyDescent="0.2">
      <c r="A52" s="2" t="s">
        <v>28</v>
      </c>
      <c r="B52" s="38">
        <v>22000</v>
      </c>
      <c r="C52" s="38">
        <v>-23000</v>
      </c>
      <c r="D52" s="38"/>
      <c r="E52" s="38"/>
      <c r="F52" s="38"/>
    </row>
    <row r="53" spans="1:6" x14ac:dyDescent="0.2">
      <c r="B53" s="40"/>
      <c r="C53" s="40"/>
      <c r="D53" s="40"/>
      <c r="E53" s="37"/>
      <c r="F53" s="37"/>
    </row>
    <row r="54" spans="1:6" x14ac:dyDescent="0.2">
      <c r="A54" s="2" t="s">
        <v>29</v>
      </c>
      <c r="B54" s="37">
        <f>+B50-B52</f>
        <v>137695</v>
      </c>
      <c r="C54" s="37">
        <f>+C50-C52</f>
        <v>-91836</v>
      </c>
      <c r="D54" s="37">
        <f>+D50-D52</f>
        <v>-52570</v>
      </c>
      <c r="E54" s="37">
        <f>+E50-E52</f>
        <v>55146</v>
      </c>
      <c r="F54" s="37">
        <f>+F50-F52</f>
        <v>937872</v>
      </c>
    </row>
    <row r="55" spans="1:6" x14ac:dyDescent="0.2">
      <c r="E55" s="1"/>
      <c r="F55" s="1"/>
    </row>
  </sheetData>
  <phoneticPr fontId="0" type="noConversion"/>
  <printOptions gridLines="1"/>
  <pageMargins left="0.75" right="0.75" top="1" bottom="1" header="0.5" footer="0.5"/>
  <pageSetup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D1" workbookViewId="0">
      <selection activeCell="K5" sqref="K5:O35"/>
    </sheetView>
  </sheetViews>
  <sheetFormatPr defaultRowHeight="12.75" x14ac:dyDescent="0.2"/>
  <cols>
    <col min="1" max="1" width="33.28515625" customWidth="1"/>
    <col min="2" max="3" width="16.140625" hidden="1" customWidth="1"/>
    <col min="4" max="7" width="14.28515625" bestFit="1" customWidth="1"/>
    <col min="8" max="8" width="15.28515625" bestFit="1" customWidth="1"/>
    <col min="9" max="9" width="2.5703125" customWidth="1"/>
    <col min="10" max="10" width="28.7109375" customWidth="1"/>
    <col min="11" max="15" width="13.7109375" bestFit="1" customWidth="1"/>
  </cols>
  <sheetData>
    <row r="1" spans="1:15" x14ac:dyDescent="0.2">
      <c r="A1" s="2" t="str">
        <f>+'income statement'!B1</f>
        <v>Case Study Cooperative</v>
      </c>
      <c r="J1" t="str">
        <f>+'income statement'!B1</f>
        <v>Case Study Cooperative</v>
      </c>
    </row>
    <row r="2" spans="1:15" x14ac:dyDescent="0.2">
      <c r="A2" s="2" t="s">
        <v>42</v>
      </c>
      <c r="J2" s="2" t="s">
        <v>42</v>
      </c>
    </row>
    <row r="3" spans="1:15" x14ac:dyDescent="0.2">
      <c r="A3" s="2" t="s">
        <v>107</v>
      </c>
      <c r="B3" s="2"/>
      <c r="C3" s="2"/>
      <c r="D3" s="2">
        <f>+'income statement'!B3</f>
        <v>2010</v>
      </c>
      <c r="E3" s="2">
        <f>+'income statement'!C3</f>
        <v>2009</v>
      </c>
      <c r="F3" s="2">
        <f>+'income statement'!D3</f>
        <v>2008</v>
      </c>
      <c r="G3" s="2">
        <f>+'income statement'!E3</f>
        <v>2007</v>
      </c>
      <c r="H3" s="2">
        <f>+'income statement'!F3</f>
        <v>2006</v>
      </c>
      <c r="J3" s="2" t="s">
        <v>108</v>
      </c>
      <c r="K3" s="2">
        <f>+D3</f>
        <v>2010</v>
      </c>
      <c r="L3" s="2">
        <f>+E3</f>
        <v>2009</v>
      </c>
      <c r="M3" s="2">
        <f>+F3</f>
        <v>2008</v>
      </c>
      <c r="N3" s="2">
        <f>+G3</f>
        <v>2007</v>
      </c>
      <c r="O3" s="2">
        <f>+H3</f>
        <v>2006</v>
      </c>
    </row>
    <row r="4" spans="1:15" x14ac:dyDescent="0.2">
      <c r="A4" s="2" t="s">
        <v>43</v>
      </c>
      <c r="B4" s="2"/>
      <c r="C4" s="2"/>
      <c r="D4" s="2"/>
      <c r="E4" s="2"/>
      <c r="F4" s="2"/>
      <c r="J4" s="2" t="s">
        <v>58</v>
      </c>
      <c r="K4" s="7"/>
      <c r="L4" s="7"/>
      <c r="M4" s="7"/>
    </row>
    <row r="5" spans="1:15" x14ac:dyDescent="0.2">
      <c r="A5" t="s">
        <v>44</v>
      </c>
      <c r="D5" s="31">
        <v>37610</v>
      </c>
      <c r="E5" s="31">
        <v>135</v>
      </c>
      <c r="F5" s="31">
        <v>3214</v>
      </c>
      <c r="G5" s="31">
        <v>4736</v>
      </c>
      <c r="H5" s="31">
        <v>4736</v>
      </c>
      <c r="J5" t="s">
        <v>60</v>
      </c>
      <c r="K5" s="36">
        <v>1863369</v>
      </c>
      <c r="L5" s="36">
        <f>302950+16942</f>
        <v>319892</v>
      </c>
      <c r="M5" s="36">
        <v>744723</v>
      </c>
      <c r="N5" s="36">
        <v>474336</v>
      </c>
      <c r="O5" s="36">
        <v>474336</v>
      </c>
    </row>
    <row r="6" spans="1:15" x14ac:dyDescent="0.2">
      <c r="A6" t="s">
        <v>45</v>
      </c>
      <c r="D6" s="31">
        <v>470527</v>
      </c>
      <c r="E6" s="31">
        <v>430237</v>
      </c>
      <c r="F6" s="31">
        <v>293507</v>
      </c>
      <c r="G6" s="32">
        <f>258789</f>
        <v>258789</v>
      </c>
      <c r="H6" s="32">
        <f>258789</f>
        <v>258789</v>
      </c>
      <c r="J6" t="s">
        <v>61</v>
      </c>
      <c r="K6" s="36">
        <v>97776</v>
      </c>
      <c r="L6" s="36">
        <v>97776</v>
      </c>
      <c r="M6" s="36">
        <v>97776</v>
      </c>
      <c r="N6" s="36">
        <v>78180</v>
      </c>
      <c r="O6" s="36">
        <v>78180</v>
      </c>
    </row>
    <row r="7" spans="1:15" x14ac:dyDescent="0.2">
      <c r="A7" t="s">
        <v>126</v>
      </c>
      <c r="D7" s="31">
        <v>-23500</v>
      </c>
      <c r="E7" s="31">
        <v>-26000</v>
      </c>
      <c r="F7" s="31">
        <v>-26000</v>
      </c>
      <c r="G7" s="32">
        <v>-30000</v>
      </c>
      <c r="H7" s="32">
        <v>-30000</v>
      </c>
      <c r="K7" s="36"/>
      <c r="L7" s="36"/>
      <c r="M7" s="36"/>
      <c r="N7" s="36"/>
      <c r="O7" s="36"/>
    </row>
    <row r="8" spans="1:15" x14ac:dyDescent="0.2">
      <c r="A8" t="s">
        <v>125</v>
      </c>
      <c r="D8" s="31">
        <v>10030</v>
      </c>
      <c r="E8" s="31">
        <v>29344</v>
      </c>
      <c r="F8" s="31">
        <v>12534</v>
      </c>
      <c r="G8" s="32">
        <v>8578</v>
      </c>
      <c r="H8" s="32">
        <v>8578</v>
      </c>
      <c r="K8" s="36"/>
      <c r="L8" s="36"/>
      <c r="M8" s="36"/>
      <c r="N8" s="36"/>
      <c r="O8" s="36"/>
    </row>
    <row r="9" spans="1:15" x14ac:dyDescent="0.2">
      <c r="A9" t="s">
        <v>46</v>
      </c>
      <c r="D9" s="31">
        <v>351879</v>
      </c>
      <c r="E9" s="31">
        <v>21992</v>
      </c>
      <c r="F9" s="31">
        <v>532527</v>
      </c>
      <c r="G9" s="32">
        <f>46296</f>
        <v>46296</v>
      </c>
      <c r="H9" s="32">
        <f>46296</f>
        <v>46296</v>
      </c>
      <c r="J9" t="s">
        <v>62</v>
      </c>
      <c r="K9" s="36"/>
      <c r="L9" s="36"/>
      <c r="M9" s="36"/>
      <c r="N9" s="36"/>
      <c r="O9" s="36"/>
    </row>
    <row r="10" spans="1:15" x14ac:dyDescent="0.2">
      <c r="A10" t="s">
        <v>47</v>
      </c>
      <c r="D10" s="31">
        <v>42756</v>
      </c>
      <c r="E10" s="31">
        <v>18635</v>
      </c>
      <c r="F10" s="31">
        <v>56947</v>
      </c>
      <c r="G10" s="32">
        <v>57757</v>
      </c>
      <c r="H10" s="32">
        <v>57757</v>
      </c>
      <c r="J10" t="s">
        <v>59</v>
      </c>
      <c r="K10" s="36">
        <v>186839</v>
      </c>
      <c r="L10" s="36">
        <v>148539</v>
      </c>
      <c r="M10" s="36">
        <v>196748</v>
      </c>
      <c r="N10" s="36">
        <v>72764</v>
      </c>
      <c r="O10" s="36">
        <v>72764</v>
      </c>
    </row>
    <row r="11" spans="1:15" x14ac:dyDescent="0.2">
      <c r="A11" t="s">
        <v>48</v>
      </c>
      <c r="D11" s="31">
        <v>148701</v>
      </c>
      <c r="E11" s="31">
        <v>21608</v>
      </c>
      <c r="F11" s="31">
        <v>43643</v>
      </c>
      <c r="G11" s="32">
        <f>202827</f>
        <v>202827</v>
      </c>
      <c r="H11" s="32">
        <f>202827</f>
        <v>202827</v>
      </c>
      <c r="J11" t="s">
        <v>63</v>
      </c>
      <c r="K11" s="36"/>
      <c r="L11" s="36"/>
      <c r="M11" s="36"/>
      <c r="N11" s="36"/>
      <c r="O11" s="36"/>
    </row>
    <row r="12" spans="1:15" x14ac:dyDescent="0.2">
      <c r="A12" t="s">
        <v>127</v>
      </c>
      <c r="D12" s="31">
        <v>1255418</v>
      </c>
      <c r="E12" s="31">
        <v>97753</v>
      </c>
      <c r="F12" s="31">
        <v>328782</v>
      </c>
      <c r="G12" s="32">
        <v>257389</v>
      </c>
      <c r="H12" s="32">
        <v>257389</v>
      </c>
      <c r="K12" s="36"/>
      <c r="L12" s="36"/>
      <c r="M12" s="36"/>
      <c r="N12" s="36"/>
      <c r="O12" s="36"/>
    </row>
    <row r="13" spans="1:15" x14ac:dyDescent="0.2">
      <c r="A13" t="s">
        <v>128</v>
      </c>
      <c r="D13" s="31">
        <v>382982</v>
      </c>
      <c r="E13" s="31">
        <v>341789</v>
      </c>
      <c r="F13" s="31">
        <v>301624</v>
      </c>
      <c r="G13" s="32">
        <v>366829</v>
      </c>
      <c r="H13" s="32">
        <v>366829</v>
      </c>
      <c r="J13" t="s">
        <v>1</v>
      </c>
      <c r="K13" s="36"/>
      <c r="L13" s="36"/>
      <c r="M13" s="36">
        <v>37162</v>
      </c>
      <c r="N13" s="36">
        <v>85725</v>
      </c>
      <c r="O13" s="36">
        <v>85725</v>
      </c>
    </row>
    <row r="14" spans="1:15" x14ac:dyDescent="0.2">
      <c r="A14" t="s">
        <v>129</v>
      </c>
      <c r="D14" s="31">
        <v>3800</v>
      </c>
      <c r="E14" s="31">
        <v>3800</v>
      </c>
      <c r="F14" s="31">
        <v>2800</v>
      </c>
      <c r="G14" s="32">
        <v>6880</v>
      </c>
      <c r="H14" s="32">
        <v>6880</v>
      </c>
      <c r="K14" s="36"/>
      <c r="L14" s="36"/>
      <c r="M14" s="36"/>
      <c r="N14" s="36">
        <v>20437</v>
      </c>
      <c r="O14" s="36">
        <v>20437</v>
      </c>
    </row>
    <row r="15" spans="1:15" x14ac:dyDescent="0.2">
      <c r="A15" t="s">
        <v>50</v>
      </c>
      <c r="D15" s="31">
        <v>76588</v>
      </c>
      <c r="E15" s="31">
        <v>24512</v>
      </c>
      <c r="F15" s="31">
        <v>39659</v>
      </c>
      <c r="G15" s="32">
        <f>104498</f>
        <v>104498</v>
      </c>
      <c r="H15" s="32">
        <f>104498</f>
        <v>104498</v>
      </c>
      <c r="J15" t="s">
        <v>64</v>
      </c>
      <c r="K15" s="36">
        <v>94218</v>
      </c>
      <c r="L15" s="36">
        <v>17295</v>
      </c>
      <c r="M15" s="36">
        <v>20539</v>
      </c>
      <c r="N15" s="36">
        <v>20170</v>
      </c>
      <c r="O15" s="36">
        <v>20170</v>
      </c>
    </row>
    <row r="16" spans="1:15" x14ac:dyDescent="0.2">
      <c r="A16" t="s">
        <v>51</v>
      </c>
      <c r="D16" s="33">
        <f>SUM(D5:D15)</f>
        <v>2756791</v>
      </c>
      <c r="E16" s="33">
        <f>SUM(E5:E15)</f>
        <v>963805</v>
      </c>
      <c r="F16" s="33">
        <f>SUM(F5:F15)</f>
        <v>1589237</v>
      </c>
      <c r="G16" s="34">
        <f>SUM(G5:G15)</f>
        <v>1284579</v>
      </c>
      <c r="H16" s="34">
        <f>SUM(H5:H15)</f>
        <v>1284579</v>
      </c>
      <c r="J16" t="s">
        <v>77</v>
      </c>
      <c r="K16" s="36"/>
      <c r="L16" s="36"/>
      <c r="M16" s="36"/>
      <c r="N16" s="36"/>
      <c r="O16" s="36"/>
    </row>
    <row r="17" spans="1:15" x14ac:dyDescent="0.2">
      <c r="D17" s="33"/>
      <c r="E17" s="33"/>
      <c r="F17" s="33"/>
      <c r="G17" s="34"/>
      <c r="H17" s="34"/>
      <c r="J17" s="2" t="s">
        <v>65</v>
      </c>
      <c r="K17" s="29">
        <f>SUM(K5:K16)</f>
        <v>2242202</v>
      </c>
      <c r="L17" s="29">
        <f>SUM(L5:L16)</f>
        <v>583502</v>
      </c>
      <c r="M17" s="29">
        <f>SUM(M5:M16)</f>
        <v>1096948</v>
      </c>
      <c r="N17" s="29">
        <f>SUM(N5:N16)</f>
        <v>751612</v>
      </c>
      <c r="O17" s="29">
        <f>SUM(O5:O16)</f>
        <v>751612</v>
      </c>
    </row>
    <row r="18" spans="1:15" x14ac:dyDescent="0.2">
      <c r="A18" s="2" t="s">
        <v>78</v>
      </c>
      <c r="B18" s="2"/>
      <c r="C18" s="2"/>
      <c r="D18" s="35"/>
      <c r="E18" s="35"/>
      <c r="F18" s="35"/>
      <c r="G18" s="34"/>
      <c r="H18" s="34"/>
      <c r="K18" s="29"/>
      <c r="L18" s="29"/>
      <c r="M18" s="29"/>
      <c r="N18" s="29"/>
      <c r="O18" s="29"/>
    </row>
    <row r="19" spans="1:15" x14ac:dyDescent="0.2">
      <c r="A19" t="s">
        <v>53</v>
      </c>
      <c r="D19" s="31">
        <v>3427920</v>
      </c>
      <c r="E19" s="31">
        <v>3400704</v>
      </c>
      <c r="F19" s="31">
        <v>3373115</v>
      </c>
      <c r="G19" s="32">
        <v>3265158</v>
      </c>
      <c r="H19" s="32">
        <v>31590419</v>
      </c>
      <c r="J19" t="s">
        <v>66</v>
      </c>
      <c r="K19" s="36"/>
      <c r="L19" s="36"/>
      <c r="M19" s="36"/>
      <c r="N19" s="36"/>
      <c r="O19" s="36"/>
    </row>
    <row r="20" spans="1:15" x14ac:dyDescent="0.2">
      <c r="A20" t="s">
        <v>54</v>
      </c>
      <c r="D20" s="31">
        <v>2699029</v>
      </c>
      <c r="E20" s="31">
        <v>2542081</v>
      </c>
      <c r="F20" s="31">
        <v>2367424</v>
      </c>
      <c r="G20" s="32">
        <v>2192564</v>
      </c>
      <c r="H20" s="32">
        <v>17916299</v>
      </c>
      <c r="K20" s="36"/>
      <c r="L20" s="36"/>
      <c r="M20" s="36"/>
      <c r="N20" s="36"/>
      <c r="O20" s="36"/>
    </row>
    <row r="21" spans="1:15" x14ac:dyDescent="0.2">
      <c r="A21" t="s">
        <v>55</v>
      </c>
      <c r="D21" s="34">
        <f>+D19-D20</f>
        <v>728891</v>
      </c>
      <c r="E21" s="34">
        <f>+E19-E20</f>
        <v>858623</v>
      </c>
      <c r="F21" s="34">
        <f>+F19-F20</f>
        <v>1005691</v>
      </c>
      <c r="G21" s="34">
        <f>+G19-G20</f>
        <v>1072594</v>
      </c>
      <c r="H21" s="34">
        <f>+H19-H20</f>
        <v>13674120</v>
      </c>
      <c r="J21" t="s">
        <v>67</v>
      </c>
      <c r="K21" s="36">
        <v>306322</v>
      </c>
      <c r="L21" s="36">
        <v>404098</v>
      </c>
      <c r="M21" s="36">
        <v>501874</v>
      </c>
      <c r="N21" s="36">
        <v>403650</v>
      </c>
      <c r="O21" s="36">
        <v>403650</v>
      </c>
    </row>
    <row r="22" spans="1:15" x14ac:dyDescent="0.2">
      <c r="D22" s="33"/>
      <c r="E22" s="33"/>
      <c r="F22" s="33"/>
      <c r="G22" s="34"/>
      <c r="H22" s="34"/>
      <c r="J22" t="s">
        <v>68</v>
      </c>
      <c r="K22" s="36">
        <v>4000</v>
      </c>
      <c r="L22" s="36">
        <v>4000</v>
      </c>
      <c r="M22" s="36">
        <v>4000</v>
      </c>
      <c r="N22" s="36">
        <v>8641</v>
      </c>
      <c r="O22" s="36">
        <v>8641</v>
      </c>
    </row>
    <row r="23" spans="1:15" x14ac:dyDescent="0.2">
      <c r="A23" t="s">
        <v>56</v>
      </c>
      <c r="D23" s="33">
        <f>525225-209926</f>
        <v>315299</v>
      </c>
      <c r="E23" s="33">
        <f>490026-172911</f>
        <v>317115</v>
      </c>
      <c r="F23" s="33">
        <f>980600-680238</f>
        <v>300362</v>
      </c>
      <c r="G23" s="34">
        <f>848884-650949</f>
        <v>197935</v>
      </c>
      <c r="H23" s="34">
        <v>16171</v>
      </c>
      <c r="K23" s="36"/>
      <c r="L23" s="36"/>
      <c r="M23" s="36"/>
      <c r="N23" s="36"/>
      <c r="O23" s="36"/>
    </row>
    <row r="24" spans="1:15" x14ac:dyDescent="0.2">
      <c r="D24" s="33"/>
      <c r="E24" s="33"/>
      <c r="F24" s="33"/>
      <c r="G24" s="34"/>
      <c r="H24" s="34"/>
      <c r="J24" s="2" t="s">
        <v>69</v>
      </c>
      <c r="K24" s="29">
        <f>+K21+K22</f>
        <v>310322</v>
      </c>
      <c r="L24" s="29">
        <f>+L21+L22</f>
        <v>408098</v>
      </c>
      <c r="M24" s="29">
        <f>+M21+M22</f>
        <v>505874</v>
      </c>
      <c r="N24" s="29">
        <f>+N21+N22</f>
        <v>412291</v>
      </c>
      <c r="O24" s="29">
        <f>+O22</f>
        <v>8641</v>
      </c>
    </row>
    <row r="25" spans="1:15" x14ac:dyDescent="0.2">
      <c r="A25" s="2" t="s">
        <v>79</v>
      </c>
      <c r="B25" s="2"/>
      <c r="C25" s="2"/>
      <c r="D25" s="34">
        <f>+D16+D21+D23</f>
        <v>3800981</v>
      </c>
      <c r="E25" s="34">
        <f>+E16+E21+E23</f>
        <v>2139543</v>
      </c>
      <c r="F25" s="34">
        <f>+F16+F21+F23</f>
        <v>2895290</v>
      </c>
      <c r="G25" s="34">
        <f>+G16+G21+G23</f>
        <v>2555108</v>
      </c>
      <c r="H25" s="34">
        <f>+H16+H21+H23</f>
        <v>14974870</v>
      </c>
      <c r="K25" s="29"/>
      <c r="L25" s="29"/>
      <c r="M25" s="29"/>
      <c r="N25" s="29"/>
      <c r="O25" s="29"/>
    </row>
    <row r="26" spans="1:15" x14ac:dyDescent="0.2">
      <c r="D26" s="33"/>
      <c r="E26" s="33"/>
      <c r="F26" s="33"/>
      <c r="G26" s="34"/>
      <c r="H26" s="34"/>
      <c r="J26" s="2" t="s">
        <v>70</v>
      </c>
      <c r="K26" s="29">
        <f>+K17+K19+K24</f>
        <v>2552524</v>
      </c>
      <c r="L26" s="29">
        <f>+L17+L19+L24</f>
        <v>991600</v>
      </c>
      <c r="M26" s="29">
        <f>+M17+M19+M24</f>
        <v>1602822</v>
      </c>
      <c r="N26" s="29">
        <f>+N17+N19+N24</f>
        <v>1163903</v>
      </c>
      <c r="O26" s="29">
        <f>+O17+O19+O24</f>
        <v>760253</v>
      </c>
    </row>
    <row r="27" spans="1:15" x14ac:dyDescent="0.2">
      <c r="A27" t="s">
        <v>52</v>
      </c>
      <c r="D27" s="31">
        <v>209926</v>
      </c>
      <c r="E27" s="31">
        <v>172911</v>
      </c>
      <c r="F27" s="31">
        <v>680238</v>
      </c>
      <c r="G27" s="32">
        <v>650949</v>
      </c>
      <c r="H27" s="32">
        <v>12833530</v>
      </c>
      <c r="K27" s="29"/>
      <c r="L27" s="29"/>
      <c r="M27" s="29"/>
      <c r="N27" s="29"/>
      <c r="O27" s="29"/>
    </row>
    <row r="28" spans="1:15" x14ac:dyDescent="0.2">
      <c r="D28" s="33"/>
      <c r="E28" s="33"/>
      <c r="F28" s="33"/>
      <c r="G28" s="34"/>
      <c r="H28" s="34"/>
      <c r="J28" t="s">
        <v>71</v>
      </c>
      <c r="K28" s="29"/>
      <c r="L28" s="29"/>
      <c r="M28" s="29"/>
      <c r="N28" s="29"/>
      <c r="O28" s="29"/>
    </row>
    <row r="29" spans="1:15" x14ac:dyDescent="0.2">
      <c r="A29" s="2" t="s">
        <v>57</v>
      </c>
      <c r="B29" s="2"/>
      <c r="C29" s="2"/>
      <c r="D29" s="34">
        <f>+D16+D27+D21+D23</f>
        <v>4010907</v>
      </c>
      <c r="E29" s="34">
        <f>+E16+E27+E21+E23</f>
        <v>2312454</v>
      </c>
      <c r="F29" s="34">
        <f>+F16+F27+F21+F23</f>
        <v>3575528</v>
      </c>
      <c r="G29" s="34">
        <f>+G16+G27+G21+G23</f>
        <v>3206057</v>
      </c>
      <c r="H29" s="34">
        <f>+H16+H27+H21+H23</f>
        <v>27808400</v>
      </c>
      <c r="J29" t="s">
        <v>72</v>
      </c>
      <c r="K29" s="36">
        <v>68800</v>
      </c>
      <c r="L29" s="36">
        <v>1074700</v>
      </c>
      <c r="M29" s="36">
        <v>1102400</v>
      </c>
      <c r="N29" s="36">
        <v>1118200</v>
      </c>
      <c r="O29" s="36">
        <v>1118200</v>
      </c>
    </row>
    <row r="30" spans="1:15" x14ac:dyDescent="0.2">
      <c r="J30" t="s">
        <v>73</v>
      </c>
      <c r="K30" s="36">
        <v>789382</v>
      </c>
      <c r="L30" s="36">
        <v>233713</v>
      </c>
      <c r="M30" s="36">
        <v>229174</v>
      </c>
      <c r="N30" s="36">
        <v>209815</v>
      </c>
      <c r="O30" s="36">
        <v>209815</v>
      </c>
    </row>
    <row r="31" spans="1:15" x14ac:dyDescent="0.2">
      <c r="J31" t="s">
        <v>74</v>
      </c>
      <c r="K31" s="36">
        <v>600201</v>
      </c>
      <c r="L31" s="36">
        <v>12441</v>
      </c>
      <c r="M31" s="36">
        <v>641132</v>
      </c>
      <c r="N31" s="36">
        <v>693702</v>
      </c>
      <c r="O31" s="36">
        <v>693702</v>
      </c>
    </row>
    <row r="32" spans="1:15" x14ac:dyDescent="0.2">
      <c r="J32" t="s">
        <v>130</v>
      </c>
      <c r="K32" s="36"/>
      <c r="L32" s="36"/>
      <c r="M32" s="36"/>
      <c r="N32" s="36">
        <v>20437</v>
      </c>
      <c r="O32" s="36">
        <v>20437</v>
      </c>
    </row>
    <row r="33" spans="10:15" x14ac:dyDescent="0.2">
      <c r="J33" s="2" t="s">
        <v>75</v>
      </c>
      <c r="K33" s="29">
        <f>SUM(K29:K31)</f>
        <v>1458383</v>
      </c>
      <c r="L33" s="29">
        <f>SUM(L29:L31)</f>
        <v>1320854</v>
      </c>
      <c r="M33" s="29">
        <f>SUM(M29:M31)</f>
        <v>1972706</v>
      </c>
      <c r="N33" s="29">
        <f>SUM(N29:N32)</f>
        <v>2042154</v>
      </c>
      <c r="O33" s="29">
        <f>SUM(O29:O31)</f>
        <v>2021717</v>
      </c>
    </row>
    <row r="34" spans="10:15" x14ac:dyDescent="0.2">
      <c r="K34" s="29"/>
      <c r="L34" s="29"/>
      <c r="M34" s="29"/>
      <c r="N34" s="29"/>
      <c r="O34" s="29"/>
    </row>
    <row r="35" spans="10:15" x14ac:dyDescent="0.2">
      <c r="J35" s="2" t="s">
        <v>76</v>
      </c>
      <c r="K35" s="29">
        <f>+K26+K33</f>
        <v>4010907</v>
      </c>
      <c r="L35" s="29">
        <f>+L26+L33</f>
        <v>2312454</v>
      </c>
      <c r="M35" s="29">
        <f>+M26+M33</f>
        <v>3575528</v>
      </c>
      <c r="N35" s="29">
        <f>+N26+N33</f>
        <v>3206057</v>
      </c>
      <c r="O35" s="29">
        <f>+O26+O33</f>
        <v>2781970</v>
      </c>
    </row>
    <row r="36" spans="10:15" x14ac:dyDescent="0.2">
      <c r="K36" s="1"/>
      <c r="L36" s="1"/>
      <c r="M36" s="1"/>
      <c r="N36" s="1"/>
      <c r="O36" s="1"/>
    </row>
    <row r="37" spans="10:15" x14ac:dyDescent="0.2">
      <c r="J37" s="2"/>
      <c r="K37" s="6"/>
      <c r="L37" s="6"/>
      <c r="M37" s="6"/>
      <c r="N37" s="6"/>
      <c r="O37" s="6"/>
    </row>
  </sheetData>
  <phoneticPr fontId="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opLeftCell="A37" workbookViewId="0">
      <pane xSplit="1" topLeftCell="B1" activePane="topRight" state="frozen"/>
      <selection pane="topRight" activeCell="B45" sqref="B45"/>
    </sheetView>
  </sheetViews>
  <sheetFormatPr defaultRowHeight="12.75" x14ac:dyDescent="0.2"/>
  <cols>
    <col min="1" max="1" width="35" customWidth="1"/>
    <col min="2" max="3" width="13.7109375" customWidth="1"/>
    <col min="4" max="4" width="14.5703125" customWidth="1"/>
    <col min="5" max="5" width="14" bestFit="1" customWidth="1"/>
    <col min="6" max="6" width="14" customWidth="1"/>
    <col min="7" max="7" width="14.85546875" customWidth="1"/>
    <col min="8" max="8" width="40" customWidth="1"/>
    <col min="24" max="24" width="10.28515625" customWidth="1"/>
  </cols>
  <sheetData>
    <row r="1" spans="1:24" x14ac:dyDescent="0.2">
      <c r="A1" s="2" t="s">
        <v>148</v>
      </c>
      <c r="B1" s="18" t="str">
        <f>+'income statement'!B1</f>
        <v>Case Study Cooperative</v>
      </c>
      <c r="D1" s="16"/>
      <c r="E1" s="16"/>
      <c r="J1" t="s">
        <v>165</v>
      </c>
    </row>
    <row r="2" spans="1:24" x14ac:dyDescent="0.2">
      <c r="B2" s="2">
        <f>+'income statement'!B3</f>
        <v>2010</v>
      </c>
      <c r="C2" s="2">
        <f>+'income statement'!C3</f>
        <v>2009</v>
      </c>
      <c r="D2" s="2">
        <f>+'income statement'!D3</f>
        <v>2008</v>
      </c>
      <c r="E2" s="2">
        <f>+'income statement'!E3</f>
        <v>2007</v>
      </c>
      <c r="F2" s="2">
        <f>+'income statement'!F3</f>
        <v>2006</v>
      </c>
      <c r="G2" s="2" t="s">
        <v>112</v>
      </c>
      <c r="H2" s="2" t="s">
        <v>113</v>
      </c>
      <c r="J2" t="s">
        <v>166</v>
      </c>
      <c r="Q2" s="2" t="s">
        <v>182</v>
      </c>
      <c r="R2" s="2">
        <f>+'income statement'!B3</f>
        <v>2010</v>
      </c>
      <c r="S2" s="2">
        <f>+'income statement'!C3</f>
        <v>2009</v>
      </c>
      <c r="T2" s="2">
        <f>+'income statement'!D3</f>
        <v>2008</v>
      </c>
      <c r="U2" s="2">
        <f>+'income statement'!E3</f>
        <v>2007</v>
      </c>
      <c r="V2" s="2">
        <f>+'income statement'!F3</f>
        <v>2006</v>
      </c>
      <c r="X2" s="20" t="s">
        <v>194</v>
      </c>
    </row>
    <row r="3" spans="1:24" x14ac:dyDescent="0.2">
      <c r="A3" s="2" t="s">
        <v>182</v>
      </c>
      <c r="B3" s="2"/>
      <c r="C3" s="2"/>
      <c r="D3" s="2"/>
      <c r="J3" t="s">
        <v>123</v>
      </c>
      <c r="K3" t="s">
        <v>124</v>
      </c>
      <c r="Q3" s="20" t="s">
        <v>32</v>
      </c>
      <c r="R3">
        <f>IF(ratios!B4&gt;ratios!$K$4,1,IF(ratios!B4&lt;ratios!$J$4,-1,0))</f>
        <v>1</v>
      </c>
      <c r="S3">
        <f>IF(ratios!C4&gt;ratios!$K$4,1,IF(ratios!C4&lt;ratios!$J$4,-1,0))</f>
        <v>-1</v>
      </c>
      <c r="T3">
        <f>IF(ratios!D4&gt;ratios!$K$4,1,IF(ratios!D4&lt;ratios!$J$4,-1,0))</f>
        <v>0</v>
      </c>
      <c r="U3">
        <f>IF(ratios!E4&gt;ratios!$K$4,1,IF(ratios!E4&lt;ratios!$J$4,-1,0))</f>
        <v>0</v>
      </c>
      <c r="V3">
        <f>IF(ratios!F4&gt;ratios!$K$4,1,IF(ratios!F4&lt;ratios!$J$4,-1,0))</f>
        <v>1</v>
      </c>
      <c r="X3" s="20" t="s">
        <v>195</v>
      </c>
    </row>
    <row r="4" spans="1:24" x14ac:dyDescent="0.2">
      <c r="A4" s="20" t="s">
        <v>32</v>
      </c>
      <c r="B4" s="27">
        <f>'income statement'!B47</f>
        <v>101693</v>
      </c>
      <c r="C4" s="27">
        <f>'income statement'!C47</f>
        <v>-167322</v>
      </c>
      <c r="D4" s="27">
        <f>'income statement'!D47</f>
        <v>28722</v>
      </c>
      <c r="E4" s="27">
        <f>'income statement'!E47</f>
        <v>88623</v>
      </c>
      <c r="F4" s="27">
        <f>'income statement'!F47</f>
        <v>971349</v>
      </c>
      <c r="H4" s="20" t="s">
        <v>32</v>
      </c>
      <c r="J4">
        <v>0</v>
      </c>
      <c r="K4">
        <v>100000</v>
      </c>
      <c r="Q4" s="20" t="s">
        <v>178</v>
      </c>
      <c r="R4">
        <f>IF(ratios!B5&gt;ratios!$K5,1,IF(ratios!B5&lt;ratios!$J5,-1,0))</f>
        <v>0</v>
      </c>
      <c r="S4">
        <f>IF(ratios!C5&gt;ratios!$K5,1,IF(ratios!C5&lt;ratios!$J5,-1,0))</f>
        <v>0</v>
      </c>
      <c r="T4">
        <f>IF(ratios!D5&gt;ratios!$K5,1,IF(ratios!D5&lt;ratios!$J5,-1,0))</f>
        <v>0</v>
      </c>
      <c r="U4">
        <f>IF(ratios!E5&gt;ratios!$K5,1,IF(ratios!E5&lt;ratios!$J5,-1,0))</f>
        <v>0</v>
      </c>
      <c r="V4">
        <f>IF(ratios!F5&gt;ratios!$K5,1,IF(ratios!F5&lt;ratios!$J5,-1,0))</f>
        <v>0</v>
      </c>
      <c r="X4" s="20" t="s">
        <v>196</v>
      </c>
    </row>
    <row r="5" spans="1:24" x14ac:dyDescent="0.2">
      <c r="A5" s="20" t="s">
        <v>178</v>
      </c>
      <c r="B5" s="27">
        <f>'income statement'!B12</f>
        <v>932052</v>
      </c>
      <c r="C5" s="27">
        <f>'income statement'!C12</f>
        <v>666700</v>
      </c>
      <c r="D5" s="27">
        <f>'income statement'!D12</f>
        <v>707351</v>
      </c>
      <c r="E5" s="27">
        <f>'income statement'!E12</f>
        <v>836520</v>
      </c>
      <c r="F5" s="27">
        <f>'income statement'!F12</f>
        <v>1717859</v>
      </c>
      <c r="H5" s="20" t="s">
        <v>179</v>
      </c>
      <c r="J5">
        <v>500000</v>
      </c>
      <c r="K5">
        <v>2000000</v>
      </c>
      <c r="Q5" s="20" t="s">
        <v>187</v>
      </c>
      <c r="R5">
        <f>IF(ratios!B6&gt;ratios!$K6,1,IF(ratios!B6&lt;ratios!$J6,-1,0))</f>
        <v>1</v>
      </c>
      <c r="S5">
        <f>IF(ratios!C6&gt;ratios!$K6,1,IF(ratios!C6&lt;ratios!$J6,-1,0))</f>
        <v>-1</v>
      </c>
      <c r="T5">
        <f>IF(ratios!D6&gt;ratios!$K6,1,IF(ratios!D6&lt;ratios!$J6,-1,0))</f>
        <v>-1</v>
      </c>
      <c r="U5">
        <f>IF(ratios!E6&gt;ratios!$K6,1,IF(ratios!E6&lt;ratios!$J6,-1,0))</f>
        <v>-1</v>
      </c>
      <c r="V5">
        <f>IF(ratios!F6&gt;ratios!$K6,1,IF(ratios!F6&lt;ratios!$J6,-1,0))</f>
        <v>0</v>
      </c>
    </row>
    <row r="6" spans="1:24" x14ac:dyDescent="0.2">
      <c r="A6" s="20" t="s">
        <v>187</v>
      </c>
      <c r="B6" s="9">
        <f>(B5-C5)/C5</f>
        <v>0.39800809959502026</v>
      </c>
      <c r="C6" s="9">
        <f>(C5-D5)/D5</f>
        <v>-5.7469346901326213E-2</v>
      </c>
      <c r="D6" s="9">
        <f t="shared" ref="D6:E6" si="0">(D5-E5)/E5</f>
        <v>-0.15441232726055565</v>
      </c>
      <c r="E6" s="9">
        <f t="shared" si="0"/>
        <v>-0.51304501708230998</v>
      </c>
      <c r="F6" s="9"/>
      <c r="H6" s="20" t="s">
        <v>188</v>
      </c>
      <c r="J6">
        <v>0</v>
      </c>
      <c r="K6">
        <v>0.03</v>
      </c>
      <c r="Q6" t="s">
        <v>31</v>
      </c>
      <c r="R6">
        <f>IF(ratios!B7&gt;ratios!$K7,1,IF(ratios!B7&lt;ratios!$J7,-1,0))</f>
        <v>-1</v>
      </c>
      <c r="S6">
        <f>IF(ratios!C7&gt;ratios!$K7,1,IF(ratios!C7&lt;ratios!$J7,-1,0))</f>
        <v>-1</v>
      </c>
      <c r="T6">
        <f>IF(ratios!D7&gt;ratios!$K7,1,IF(ratios!D7&lt;ratios!$J7,-1,0))</f>
        <v>-1</v>
      </c>
      <c r="U6">
        <f>IF(ratios!E7&gt;ratios!$K7,1,IF(ratios!E7&lt;ratios!$J7,-1,0))</f>
        <v>-1</v>
      </c>
      <c r="V6">
        <f>IF(ratios!F7&gt;ratios!$K7,1,IF(ratios!F7&lt;ratios!$J7,-1,0))</f>
        <v>1</v>
      </c>
    </row>
    <row r="7" spans="1:24" x14ac:dyDescent="0.2">
      <c r="A7" t="s">
        <v>31</v>
      </c>
      <c r="B7" s="3">
        <f>+'income statement'!B47/'income statement'!B7</f>
        <v>1.1528302400137851E-2</v>
      </c>
      <c r="C7" s="3">
        <f>+'income statement'!C47/'income statement'!C7</f>
        <v>-1.8134109959324459E-2</v>
      </c>
      <c r="D7" s="3">
        <f>+'income statement'!D47/'income statement'!D7</f>
        <v>4.5961664048431768E-3</v>
      </c>
      <c r="E7" s="3">
        <f>+'income statement'!E47/'income statement'!E7</f>
        <v>1.1482847769050977E-2</v>
      </c>
      <c r="F7" s="3">
        <f>+'income statement'!F47/'income statement'!F7</f>
        <v>0.12585731353734242</v>
      </c>
      <c r="G7" t="s">
        <v>99</v>
      </c>
      <c r="H7" t="s">
        <v>110</v>
      </c>
      <c r="J7">
        <v>0.1</v>
      </c>
      <c r="K7">
        <v>0.02</v>
      </c>
      <c r="Q7" s="20" t="s">
        <v>176</v>
      </c>
      <c r="R7">
        <f>IF(ratios!B8&gt;ratios!$K8,1,IF(ratios!B8&lt;ratios!$J8,-1,0))</f>
        <v>-1</v>
      </c>
      <c r="S7">
        <f>IF(ratios!C8&gt;ratios!$K8,1,IF(ratios!C8&lt;ratios!$J8,-1,0))</f>
        <v>-1</v>
      </c>
      <c r="T7">
        <f>IF(ratios!D8&gt;ratios!$K8,1,IF(ratios!D8&lt;ratios!$J8,-1,0))</f>
        <v>-1</v>
      </c>
      <c r="U7">
        <f>IF(ratios!E8&gt;ratios!$K8,1,IF(ratios!E8&lt;ratios!$J8,-1,0))</f>
        <v>-1</v>
      </c>
      <c r="V7">
        <f>IF(ratios!F8&gt;ratios!$K8,1,IF(ratios!F8&lt;ratios!$J8,-1,0))</f>
        <v>0</v>
      </c>
    </row>
    <row r="8" spans="1:24" x14ac:dyDescent="0.2">
      <c r="A8" s="20" t="s">
        <v>176</v>
      </c>
      <c r="B8" s="3">
        <f>'income statement'!B47/'balance sheet'!D25</f>
        <v>2.6754408927590009E-2</v>
      </c>
      <c r="C8" s="3">
        <f>'income statement'!C47/'balance sheet'!E25</f>
        <v>-7.820455115882223E-2</v>
      </c>
      <c r="D8" s="3">
        <f>'income statement'!D47/'balance sheet'!F25</f>
        <v>9.92024978499563E-3</v>
      </c>
      <c r="E8" s="3">
        <f>'income statement'!E47/'balance sheet'!G25</f>
        <v>3.4684639553396568E-2</v>
      </c>
      <c r="F8" s="3">
        <f>'income statement'!F47/'balance sheet'!H25</f>
        <v>6.4865270950599241E-2</v>
      </c>
      <c r="G8" t="s">
        <v>94</v>
      </c>
      <c r="H8" t="s">
        <v>80</v>
      </c>
      <c r="J8">
        <v>0.05</v>
      </c>
      <c r="K8">
        <v>0.1</v>
      </c>
      <c r="Q8" s="20" t="s">
        <v>177</v>
      </c>
      <c r="R8">
        <f>IF(ratios!B9&gt;ratios!$K9,1,IF(ratios!B9&lt;ratios!$J9,-1,0))</f>
        <v>0</v>
      </c>
      <c r="S8">
        <f>IF(ratios!C9&gt;ratios!$K9,1,IF(ratios!C9&lt;ratios!$J9,-1,0))</f>
        <v>-1</v>
      </c>
      <c r="T8">
        <f>IF(ratios!D9&gt;ratios!$K9,1,IF(ratios!D9&lt;ratios!$J9,-1,0))</f>
        <v>-1</v>
      </c>
      <c r="U8">
        <f>IF(ratios!E9&gt;ratios!$K9,1,IF(ratios!E9&lt;ratios!$J9,-1,0))</f>
        <v>-1</v>
      </c>
      <c r="V8">
        <f>IF(ratios!F9&gt;ratios!$K9,1,IF(ratios!F9&lt;ratios!$J9,-1,0))</f>
        <v>-1</v>
      </c>
    </row>
    <row r="9" spans="1:24" x14ac:dyDescent="0.2">
      <c r="A9" s="20" t="s">
        <v>177</v>
      </c>
      <c r="B9" s="3">
        <f>+'income statement'!B47/('balance sheet'!K33-'balance sheet'!D27)</f>
        <v>8.1454947987796136E-2</v>
      </c>
      <c r="C9" s="3">
        <f>+'income statement'!C47/('balance sheet'!L33-'balance sheet'!E27)</f>
        <v>-0.14575810819875204</v>
      </c>
      <c r="D9" s="3">
        <f>+'income statement'!D47/('balance sheet'!M33-'balance sheet'!F27)</f>
        <v>2.2222600482178282E-2</v>
      </c>
      <c r="E9" s="3">
        <f>+'income statement'!E47/('balance sheet'!N33-'balance sheet'!G27)</f>
        <v>6.3702329994501164E-2</v>
      </c>
      <c r="F9" s="3">
        <f>+'income statement'!F47/('balance sheet'!O33-'balance sheet'!H27)</f>
        <v>-8.9841453972613103E-2</v>
      </c>
      <c r="G9" t="s">
        <v>95</v>
      </c>
      <c r="H9" t="s">
        <v>81</v>
      </c>
      <c r="J9">
        <v>0.08</v>
      </c>
      <c r="K9">
        <v>0.12</v>
      </c>
      <c r="Q9" s="20" t="s">
        <v>180</v>
      </c>
      <c r="R9">
        <f>IF(ratios!B10&gt;ratios!$K10,1,IF(ratios!B10&lt;ratios!$J10,-1,0))</f>
        <v>0</v>
      </c>
      <c r="S9">
        <f>IF(ratios!C10&gt;ratios!$K10,1,IF(ratios!C10&lt;ratios!$J10,-1,0))</f>
        <v>0</v>
      </c>
      <c r="T9">
        <f>IF(ratios!D10&gt;ratios!$K10,1,IF(ratios!D10&lt;ratios!$J10,-1,0))</f>
        <v>0</v>
      </c>
      <c r="U9">
        <f>IF(ratios!E10&gt;ratios!$K10,1,IF(ratios!E10&lt;ratios!$J10,-1,0))</f>
        <v>0</v>
      </c>
      <c r="V9">
        <f>IF(ratios!F10&gt;ratios!$K10,1,IF(ratios!F10&lt;ratios!$J10,-1,0))</f>
        <v>0</v>
      </c>
    </row>
    <row r="10" spans="1:24" x14ac:dyDescent="0.2">
      <c r="A10" s="20" t="s">
        <v>180</v>
      </c>
      <c r="B10" s="28">
        <f>'income statement'!B54+'income statement'!B52+'income statement'!B31+'income statement'!B30</f>
        <v>829025</v>
      </c>
      <c r="C10" s="28">
        <f>'income statement'!C54+'income statement'!C52+'income statement'!C31+'income statement'!C30</f>
        <v>561934</v>
      </c>
      <c r="D10" s="28">
        <f>'income statement'!D54+'income statement'!D52+'income statement'!D31+'income statement'!D30</f>
        <v>594337</v>
      </c>
      <c r="E10" s="28">
        <f>'income statement'!E54+'income statement'!E52+'income statement'!E31+'income statement'!E30</f>
        <v>734405</v>
      </c>
      <c r="F10" s="28">
        <f>'income statement'!F54+'income statement'!F52+'income statement'!F31+'income statement'!F30</f>
        <v>1617131</v>
      </c>
      <c r="H10" s="20" t="s">
        <v>183</v>
      </c>
      <c r="J10">
        <v>0</v>
      </c>
      <c r="K10">
        <v>2000000</v>
      </c>
      <c r="Q10" s="21" t="s">
        <v>181</v>
      </c>
      <c r="R10" s="22">
        <f>IF(ratios!B11&gt;ratios!$K11,1,IF(ratios!B11&lt;ratios!$J11,-1,0))</f>
        <v>0</v>
      </c>
      <c r="S10" s="22">
        <f>IF(ratios!C11&gt;ratios!$K11,1,IF(ratios!C11&lt;ratios!$J11,-1,0))</f>
        <v>-1</v>
      </c>
      <c r="T10" s="22">
        <f>IF(ratios!D11&gt;ratios!$K11,1,IF(ratios!D11&lt;ratios!$J11,-1,0))</f>
        <v>0</v>
      </c>
      <c r="U10" s="22">
        <f>IF(ratios!E11&gt;ratios!$K11,1,IF(ratios!E11&lt;ratios!$J11,-1,0))</f>
        <v>0</v>
      </c>
      <c r="V10" s="22">
        <f>IF(ratios!F11&gt;ratios!$K11,1,IF(ratios!F11&lt;ratios!$J11,-1,0))</f>
        <v>1</v>
      </c>
    </row>
    <row r="11" spans="1:24" x14ac:dyDescent="0.2">
      <c r="A11" s="20" t="s">
        <v>181</v>
      </c>
      <c r="B11" s="23">
        <f>B10/('income statement'!B31+'balance sheet'!K6)</f>
        <v>1.3587054500637539</v>
      </c>
      <c r="C11" s="23">
        <f>C10/('income statement'!C31+'balance sheet'!L6)</f>
        <v>0.94056818999700387</v>
      </c>
      <c r="D11" s="23">
        <f>D10/('income statement'!D31+'balance sheet'!M6)</f>
        <v>1.0472105197315447</v>
      </c>
      <c r="E11" s="23">
        <f>E10/('income statement'!E31+'balance sheet'!N6)</f>
        <v>1.265410454383332</v>
      </c>
      <c r="F11" s="23">
        <f>F10/('income statement'!F31+'balance sheet'!O6)</f>
        <v>2.7863841797201436</v>
      </c>
      <c r="G11" s="20" t="s">
        <v>184</v>
      </c>
      <c r="H11" s="20" t="s">
        <v>185</v>
      </c>
      <c r="J11">
        <v>1</v>
      </c>
      <c r="K11">
        <v>2</v>
      </c>
      <c r="Q11" s="20" t="s">
        <v>189</v>
      </c>
      <c r="R11">
        <f>SUM(R3:R10)</f>
        <v>0</v>
      </c>
      <c r="S11">
        <f>SUM(S3:S10)</f>
        <v>-6</v>
      </c>
      <c r="T11">
        <f>SUM(T3:T10)</f>
        <v>-4</v>
      </c>
      <c r="U11">
        <f>SUM(U3:U10)</f>
        <v>-4</v>
      </c>
      <c r="V11">
        <f>SUM(V3:V10)</f>
        <v>2</v>
      </c>
    </row>
    <row r="12" spans="1:24" x14ac:dyDescent="0.2">
      <c r="B12" s="24" t="str">
        <f>IF(R11&lt;0,$X$3,IF(R11&gt;0,$X$2,$X$4))</f>
        <v>Neutral</v>
      </c>
      <c r="C12" s="24" t="str">
        <f t="shared" ref="C12:F12" si="1">IF(S11&lt;0,$X$3,IF(S11&gt;0,$X$2,$X$4))</f>
        <v>Unfavorable</v>
      </c>
      <c r="D12" s="24" t="str">
        <f t="shared" si="1"/>
        <v>Unfavorable</v>
      </c>
      <c r="E12" s="24" t="str">
        <f t="shared" si="1"/>
        <v>Unfavorable</v>
      </c>
      <c r="F12" s="24" t="str">
        <f t="shared" si="1"/>
        <v>Favorable</v>
      </c>
      <c r="Q12" s="20"/>
    </row>
    <row r="13" spans="1:24" x14ac:dyDescent="0.2">
      <c r="Q13" s="20"/>
    </row>
    <row r="14" spans="1:24" x14ac:dyDescent="0.2">
      <c r="A14" s="2" t="s">
        <v>33</v>
      </c>
      <c r="B14" s="2"/>
      <c r="C14" s="2"/>
      <c r="D14" s="2"/>
      <c r="Q14" s="2" t="s">
        <v>33</v>
      </c>
    </row>
    <row r="15" spans="1:24" x14ac:dyDescent="0.2">
      <c r="A15" t="s">
        <v>34</v>
      </c>
      <c r="B15" s="9">
        <f>+'income statement'!B28/'income statement'!B25</f>
        <v>0.35672302346330492</v>
      </c>
      <c r="C15" s="9">
        <f>+'income statement'!C28/'income statement'!C25</f>
        <v>0.44362094277680786</v>
      </c>
      <c r="D15" s="9">
        <f>+'income statement'!D28/'income statement'!D25</f>
        <v>0.36359913388577603</v>
      </c>
      <c r="E15" s="9">
        <f>+'income statement'!E28/'income statement'!E25</f>
        <v>0.33934193172102517</v>
      </c>
      <c r="F15" s="9">
        <f>+'income statement'!F28/'income statement'!F25</f>
        <v>0.19600301276597373</v>
      </c>
      <c r="G15" t="s">
        <v>92</v>
      </c>
      <c r="J15">
        <v>0.35</v>
      </c>
      <c r="K15">
        <v>0.45</v>
      </c>
      <c r="Q15" t="s">
        <v>34</v>
      </c>
      <c r="R15">
        <f>IF(B15&lt;$J15,1,IF(B15&gt;$K15,-1,0))</f>
        <v>0</v>
      </c>
      <c r="S15">
        <f t="shared" ref="S15:V19" si="2">IF(C15&lt;$J15,1,IF(C15&gt;$K15,-1,0))</f>
        <v>0</v>
      </c>
      <c r="T15">
        <f t="shared" si="2"/>
        <v>0</v>
      </c>
      <c r="U15">
        <f t="shared" si="2"/>
        <v>1</v>
      </c>
      <c r="V15">
        <f t="shared" si="2"/>
        <v>1</v>
      </c>
    </row>
    <row r="16" spans="1:24" x14ac:dyDescent="0.2">
      <c r="A16" t="s">
        <v>35</v>
      </c>
      <c r="B16" s="9">
        <f>+'income statement'!B34/'income statement'!B25</f>
        <v>0.56161034868509285</v>
      </c>
      <c r="C16" s="9">
        <f>+'income statement'!C34/'income statement'!C25</f>
        <v>0.72852085543121869</v>
      </c>
      <c r="D16" s="9">
        <f>+'income statement'!D34/'income statement'!D25</f>
        <v>0.61060603747354014</v>
      </c>
      <c r="E16" s="9">
        <f>+'income statement'!E34/'income statement'!E25</f>
        <v>0.58723679588549915</v>
      </c>
      <c r="F16" s="9">
        <f>+'income statement'!F34/'income statement'!F25</f>
        <v>0.33918643834213652</v>
      </c>
      <c r="G16" t="s">
        <v>121</v>
      </c>
      <c r="J16">
        <v>0.25</v>
      </c>
      <c r="K16">
        <v>0.3</v>
      </c>
      <c r="Q16" t="s">
        <v>35</v>
      </c>
      <c r="R16">
        <f>IF(B16&lt;$J16,1,IF(B16&gt;$K16,-1,0))</f>
        <v>-1</v>
      </c>
      <c r="S16">
        <f t="shared" si="2"/>
        <v>-1</v>
      </c>
      <c r="T16">
        <f t="shared" si="2"/>
        <v>-1</v>
      </c>
      <c r="U16">
        <f t="shared" si="2"/>
        <v>-1</v>
      </c>
      <c r="V16">
        <f t="shared" si="2"/>
        <v>-1</v>
      </c>
    </row>
    <row r="17" spans="1:22" x14ac:dyDescent="0.2">
      <c r="A17" t="s">
        <v>36</v>
      </c>
      <c r="B17" s="9">
        <f>'income statement'!B44/'income statement'!B25</f>
        <v>0</v>
      </c>
      <c r="C17" s="9">
        <f>'income statement'!C44/'income statement'!C25</f>
        <v>0</v>
      </c>
      <c r="D17" s="9">
        <f>'income statement'!D44/'income statement'!D25</f>
        <v>0</v>
      </c>
      <c r="E17" s="9">
        <f>'income statement'!E44/'income statement'!E25</f>
        <v>0</v>
      </c>
      <c r="F17" s="9">
        <f>'income statement'!F44/'income statement'!F25</f>
        <v>0</v>
      </c>
      <c r="G17" t="s">
        <v>122</v>
      </c>
      <c r="J17">
        <v>0.2</v>
      </c>
      <c r="K17">
        <v>0.25</v>
      </c>
      <c r="Q17" t="s">
        <v>36</v>
      </c>
      <c r="R17">
        <f>IF(B17&lt;$J17,1,IF(B17&gt;$K17,-1,0))</f>
        <v>1</v>
      </c>
      <c r="S17">
        <f t="shared" si="2"/>
        <v>1</v>
      </c>
      <c r="T17">
        <f t="shared" si="2"/>
        <v>1</v>
      </c>
      <c r="U17">
        <f t="shared" si="2"/>
        <v>1</v>
      </c>
      <c r="V17">
        <f t="shared" si="2"/>
        <v>1</v>
      </c>
    </row>
    <row r="18" spans="1:22" x14ac:dyDescent="0.2">
      <c r="A18" t="s">
        <v>39</v>
      </c>
      <c r="B18" s="9">
        <f>'income statement'!B45/'income statement'!B7</f>
        <v>0.12963465122500895</v>
      </c>
      <c r="C18" s="9">
        <f>'income statement'!C45/'income statement'!C7</f>
        <v>0.12347813533897169</v>
      </c>
      <c r="D18" s="9">
        <f>'income statement'!D45/'income statement'!D7</f>
        <v>0.17358553306937088</v>
      </c>
      <c r="E18" s="9">
        <f>'income statement'!E45/'income statement'!E7</f>
        <v>0.14491389386616157</v>
      </c>
      <c r="F18" s="9">
        <f>'income statement'!F45/'income statement'!F7</f>
        <v>0.14491389386616157</v>
      </c>
      <c r="G18" t="s">
        <v>111</v>
      </c>
      <c r="J18">
        <v>0.05</v>
      </c>
      <c r="K18">
        <v>0.1</v>
      </c>
      <c r="Q18" t="s">
        <v>39</v>
      </c>
      <c r="R18">
        <f>IF(B18&lt;$J18,1,IF(B18&gt;$K18,-1,0))</f>
        <v>-1</v>
      </c>
      <c r="S18">
        <f t="shared" si="2"/>
        <v>-1</v>
      </c>
      <c r="T18">
        <f t="shared" si="2"/>
        <v>-1</v>
      </c>
      <c r="U18">
        <f t="shared" si="2"/>
        <v>-1</v>
      </c>
      <c r="V18">
        <f t="shared" si="2"/>
        <v>-1</v>
      </c>
    </row>
    <row r="19" spans="1:22" x14ac:dyDescent="0.2">
      <c r="A19" t="s">
        <v>40</v>
      </c>
      <c r="B19" s="26">
        <f>-'income statement'!B41/'income statement'!B6</f>
        <v>6.4124166215296209E-3</v>
      </c>
      <c r="C19" s="26">
        <f>-'income statement'!C41/'income statement'!C6</f>
        <v>7.7710063752140764E-3</v>
      </c>
      <c r="D19" s="26">
        <f>-'income statement'!D41/'income statement'!D6</f>
        <v>8.8250528315182014E-3</v>
      </c>
      <c r="E19" s="26">
        <f>-'income statement'!E41/'income statement'!E6</f>
        <v>9.9072516128180018E-3</v>
      </c>
      <c r="F19" s="26">
        <f>-'income statement'!F41/'income statement'!F6</f>
        <v>9.9072516128180018E-3</v>
      </c>
      <c r="G19" s="5" t="s">
        <v>98</v>
      </c>
      <c r="J19">
        <v>1E-3</v>
      </c>
      <c r="K19">
        <v>2.5000000000000001E-3</v>
      </c>
      <c r="Q19" s="22" t="s">
        <v>40</v>
      </c>
      <c r="R19" s="22">
        <f>IF(B19&lt;$J19,1,IF(B19&gt;$K19,-1,0))</f>
        <v>-1</v>
      </c>
      <c r="S19" s="22">
        <f t="shared" si="2"/>
        <v>-1</v>
      </c>
      <c r="T19" s="22">
        <f t="shared" si="2"/>
        <v>-1</v>
      </c>
      <c r="U19" s="22">
        <f t="shared" si="2"/>
        <v>-1</v>
      </c>
      <c r="V19" s="22">
        <f t="shared" si="2"/>
        <v>-1</v>
      </c>
    </row>
    <row r="20" spans="1:22" x14ac:dyDescent="0.2">
      <c r="B20" s="24" t="str">
        <f>IF(R20&lt;0,$X$3,IF(R20&gt;0,$X$2,$X$4))</f>
        <v>Unfavorable</v>
      </c>
      <c r="C20" s="24" t="str">
        <f t="shared" ref="C20:F20" si="3">IF(S20&lt;0,$X$3,IF(S20&gt;0,$X$2,$X$4))</f>
        <v>Unfavorable</v>
      </c>
      <c r="D20" s="24" t="str">
        <f t="shared" si="3"/>
        <v>Unfavorable</v>
      </c>
      <c r="E20" s="24" t="str">
        <f t="shared" si="3"/>
        <v>Unfavorable</v>
      </c>
      <c r="F20" s="24" t="str">
        <f t="shared" si="3"/>
        <v>Unfavorable</v>
      </c>
      <c r="Q20" s="20" t="s">
        <v>190</v>
      </c>
      <c r="R20">
        <f>SUM(R15:R19)</f>
        <v>-2</v>
      </c>
      <c r="S20">
        <f>SUM(S15:S19)</f>
        <v>-2</v>
      </c>
      <c r="T20">
        <f>SUM(T15:T19)</f>
        <v>-2</v>
      </c>
      <c r="U20">
        <f>SUM(U15:U19)</f>
        <v>-1</v>
      </c>
      <c r="V20">
        <f>SUM(V15:V19)</f>
        <v>-1</v>
      </c>
    </row>
    <row r="21" spans="1:22" x14ac:dyDescent="0.2">
      <c r="Q21" s="20"/>
    </row>
    <row r="22" spans="1:22" x14ac:dyDescent="0.2">
      <c r="A22" s="2" t="s">
        <v>82</v>
      </c>
      <c r="B22" s="2"/>
      <c r="C22" s="2"/>
      <c r="D22" s="2"/>
      <c r="Q22" s="2" t="s">
        <v>82</v>
      </c>
    </row>
    <row r="23" spans="1:22" x14ac:dyDescent="0.2">
      <c r="A23" t="s">
        <v>83</v>
      </c>
      <c r="B23" s="4">
        <f>+'income statement'!B7/'balance sheet'!D29</f>
        <v>2.1992930776006525</v>
      </c>
      <c r="C23" s="4">
        <f>+'income statement'!C7/'balance sheet'!E29</f>
        <v>3.9900992625150598</v>
      </c>
      <c r="D23" s="4">
        <f>+'income statement'!D7/'balance sheet'!F29</f>
        <v>1.7477477452281174</v>
      </c>
      <c r="E23" s="4">
        <f>+'income statement'!E7/'balance sheet'!G29</f>
        <v>2.4072744183899415</v>
      </c>
      <c r="F23" s="4">
        <f>+'income statement'!F7/'balance sheet'!H29</f>
        <v>0.27753696724730659</v>
      </c>
      <c r="G23" t="s">
        <v>91</v>
      </c>
      <c r="H23" t="s">
        <v>114</v>
      </c>
      <c r="J23">
        <v>4</v>
      </c>
      <c r="K23">
        <v>5</v>
      </c>
      <c r="Q23" t="s">
        <v>83</v>
      </c>
      <c r="R23">
        <f>IF(ratios!B23&gt;ratios!$K23,1,IF(ratios!B23&lt;ratios!$J23,-1,0))</f>
        <v>-1</v>
      </c>
      <c r="S23">
        <f>IF(ratios!C23&gt;ratios!$K23,1,IF(ratios!C23&lt;ratios!$J23,-1,0))</f>
        <v>-1</v>
      </c>
      <c r="T23">
        <f>IF(ratios!D23&gt;ratios!$K23,1,IF(ratios!D23&lt;ratios!$J23,-1,0))</f>
        <v>-1</v>
      </c>
      <c r="U23">
        <f>IF(ratios!E23&gt;ratios!$K23,1,IF(ratios!E23&lt;ratios!$J23,-1,0))</f>
        <v>-1</v>
      </c>
      <c r="V23">
        <f>IF(ratios!F23&gt;ratios!$K23,1,IF(ratios!F23&lt;ratios!$J23,-1,0))</f>
        <v>-1</v>
      </c>
    </row>
    <row r="24" spans="1:22" x14ac:dyDescent="0.2">
      <c r="A24" t="s">
        <v>120</v>
      </c>
      <c r="B24" s="3">
        <f>'balance sheet'!D29/'income statement'!B7</f>
        <v>0.45469155984020243</v>
      </c>
      <c r="C24" s="3">
        <f>'balance sheet'!E29/'income statement'!C7</f>
        <v>0.25062033152771113</v>
      </c>
      <c r="D24" s="3">
        <f>'balance sheet'!F29/'income statement'!D7</f>
        <v>0.57216494927846651</v>
      </c>
      <c r="E24" s="3">
        <f>'balance sheet'!G29/'income statement'!E7</f>
        <v>0.41540756315967936</v>
      </c>
      <c r="F24" s="3">
        <f>'balance sheet'!H29/'income statement'!F7</f>
        <v>3.6031236123904309</v>
      </c>
      <c r="G24" t="s">
        <v>146</v>
      </c>
      <c r="J24">
        <v>0.2</v>
      </c>
      <c r="K24">
        <v>0.25</v>
      </c>
      <c r="Q24" t="s">
        <v>120</v>
      </c>
      <c r="R24">
        <f>IF(ratios!B24&gt;ratios!$K24,1,IF(ratios!B24&lt;ratios!$J24,-1,0))</f>
        <v>1</v>
      </c>
      <c r="S24">
        <f>IF(ratios!C24&gt;ratios!$K24,1,IF(ratios!C24&lt;ratios!$J24,-1,0))</f>
        <v>1</v>
      </c>
      <c r="T24">
        <f>IF(ratios!D24&gt;ratios!$K24,1,IF(ratios!D24&lt;ratios!$J24,-1,0))</f>
        <v>1</v>
      </c>
      <c r="U24">
        <f>IF(ratios!E24&gt;ratios!$K24,1,IF(ratios!E24&lt;ratios!$J24,-1,0))</f>
        <v>1</v>
      </c>
      <c r="V24">
        <f>IF(ratios!F24&gt;ratios!$K24,1,IF(ratios!F24&lt;ratios!$J24,-1,0))</f>
        <v>1</v>
      </c>
    </row>
    <row r="25" spans="1:22" x14ac:dyDescent="0.2">
      <c r="A25" t="s">
        <v>118</v>
      </c>
      <c r="B25" s="4">
        <f>'income statement'!B6/'balance sheet'!D13</f>
        <v>9.5690267427712001</v>
      </c>
      <c r="C25" s="4">
        <f>'income statement'!C6/'balance sheet'!E13</f>
        <v>9.7889926241043455</v>
      </c>
      <c r="D25" s="4">
        <f>'income statement'!D6/'balance sheet'!F13</f>
        <v>9.7676511152958643</v>
      </c>
      <c r="E25" s="4">
        <f>'income statement'!E6/'balance sheet'!G13</f>
        <v>8.2547590294115238</v>
      </c>
      <c r="F25" s="4">
        <f>'income statement'!F6/'balance sheet'!H13</f>
        <v>8.2547590294115238</v>
      </c>
      <c r="G25" t="s">
        <v>147</v>
      </c>
      <c r="J25">
        <v>7</v>
      </c>
      <c r="K25">
        <v>10</v>
      </c>
      <c r="Q25" t="s">
        <v>118</v>
      </c>
      <c r="R25">
        <f>IF(ratios!B25&gt;ratios!$K25,1,IF(ratios!B25&lt;ratios!$J25,-1,0))</f>
        <v>0</v>
      </c>
      <c r="S25">
        <f>IF(ratios!C25&gt;ratios!$K25,1,IF(ratios!C25&lt;ratios!$J25,-1,0))</f>
        <v>0</v>
      </c>
      <c r="T25">
        <f>IF(ratios!D25&gt;ratios!$K25,1,IF(ratios!D25&lt;ratios!$J25,-1,0))</f>
        <v>0</v>
      </c>
      <c r="U25">
        <f>IF(ratios!E25&gt;ratios!$K25,1,IF(ratios!E25&lt;ratios!$J25,-1,0))</f>
        <v>0</v>
      </c>
      <c r="V25">
        <f>IF(ratios!F25&gt;ratios!$K25,1,IF(ratios!F25&lt;ratios!$J25,-1,0))</f>
        <v>0</v>
      </c>
    </row>
    <row r="26" spans="1:22" x14ac:dyDescent="0.2">
      <c r="A26" t="s">
        <v>84</v>
      </c>
      <c r="B26" s="10">
        <f>'balance sheet'!D6/('income statement'!B6/350)</f>
        <v>44.937246999466545</v>
      </c>
      <c r="C26" s="10">
        <f>'balance sheet'!E6/('income statement'!C6/350)</f>
        <v>45.006964017251633</v>
      </c>
      <c r="D26" s="10">
        <f>'balance sheet'!F6/('income statement'!D6/350)</f>
        <v>34.868275903736325</v>
      </c>
      <c r="E26" s="10">
        <f>'balance sheet'!G6/('income statement'!E6/350)</f>
        <v>29.912023605678179</v>
      </c>
      <c r="F26" s="10">
        <f>'balance sheet'!H6/('income statement'!F6/350)</f>
        <v>29.912023605678179</v>
      </c>
      <c r="G26" t="s">
        <v>100</v>
      </c>
      <c r="H26" t="s">
        <v>115</v>
      </c>
      <c r="J26">
        <v>30</v>
      </c>
      <c r="K26">
        <v>45</v>
      </c>
      <c r="Q26" t="s">
        <v>84</v>
      </c>
      <c r="R26">
        <f>IF(B26&lt;$J26,1,IF(B26&gt;K26,-1,0))</f>
        <v>0</v>
      </c>
      <c r="S26">
        <f t="shared" ref="S26:V26" si="4">IF(C26&lt;$J26,1,IF(C26&gt;L26,-1,0))</f>
        <v>-1</v>
      </c>
      <c r="T26">
        <f t="shared" si="4"/>
        <v>-1</v>
      </c>
      <c r="U26">
        <f t="shared" si="4"/>
        <v>1</v>
      </c>
      <c r="V26">
        <f t="shared" si="4"/>
        <v>1</v>
      </c>
    </row>
    <row r="27" spans="1:22" x14ac:dyDescent="0.2">
      <c r="A27" t="s">
        <v>116</v>
      </c>
      <c r="B27" s="3"/>
      <c r="C27" s="3"/>
      <c r="D27" s="3"/>
      <c r="E27" s="3"/>
      <c r="F27" s="3"/>
      <c r="G27" t="s">
        <v>117</v>
      </c>
      <c r="J27">
        <v>0.15</v>
      </c>
      <c r="K27">
        <v>0.2</v>
      </c>
      <c r="Q27" t="s">
        <v>116</v>
      </c>
    </row>
    <row r="28" spans="1:22" x14ac:dyDescent="0.2">
      <c r="A28" t="s">
        <v>96</v>
      </c>
      <c r="B28" s="25">
        <f>+'balance sheet'!D21/'balance sheet'!D29</f>
        <v>0.18172722528844473</v>
      </c>
      <c r="C28" s="25">
        <f>+'balance sheet'!E21/'balance sheet'!E29</f>
        <v>0.37130381836784643</v>
      </c>
      <c r="D28" s="25">
        <f>+'balance sheet'!F21/'balance sheet'!F29</f>
        <v>0.28127062632427996</v>
      </c>
      <c r="E28" s="25">
        <f>+'balance sheet'!G21/'balance sheet'!G29</f>
        <v>0.3345523800730929</v>
      </c>
      <c r="F28" s="25">
        <f>+'balance sheet'!H21/'balance sheet'!H29</f>
        <v>0.49172624099193052</v>
      </c>
      <c r="G28" t="s">
        <v>97</v>
      </c>
      <c r="J28">
        <v>0.25</v>
      </c>
      <c r="K28">
        <v>0.33</v>
      </c>
      <c r="Q28" s="22" t="s">
        <v>96</v>
      </c>
      <c r="R28" s="22">
        <f>IF(ratios!B28&gt;ratios!$K28,1,IF(ratios!B28&lt;ratios!$J28,-1,0))</f>
        <v>-1</v>
      </c>
      <c r="S28" s="22">
        <f>IF(ratios!C28&gt;ratios!$K28,1,IF(ratios!C28&lt;ratios!$J28,-1,0))</f>
        <v>1</v>
      </c>
      <c r="T28" s="22">
        <f>IF(ratios!D28&gt;ratios!$K28,1,IF(ratios!D28&lt;ratios!$J28,-1,0))</f>
        <v>0</v>
      </c>
      <c r="U28" s="22">
        <f>IF(ratios!E28&gt;ratios!$K28,1,IF(ratios!E28&lt;ratios!$J28,-1,0))</f>
        <v>1</v>
      </c>
      <c r="V28" s="22">
        <f>IF(ratios!F28&gt;ratios!$K28,1,IF(ratios!F28&lt;ratios!$J28,-1,0))</f>
        <v>1</v>
      </c>
    </row>
    <row r="29" spans="1:22" x14ac:dyDescent="0.2">
      <c r="B29" s="24" t="str">
        <f>IF(R29&lt;0,$X$3,IF(R29&gt;0,$X$2,$X$4))</f>
        <v>Unfavorable</v>
      </c>
      <c r="C29" s="24" t="str">
        <f>IF(S29&lt;0,$X$3,IF(S29&gt;0,$X$2,$X$4))</f>
        <v>Neutral</v>
      </c>
      <c r="D29" s="24" t="str">
        <f>IF(T29&lt;0,$X$3,IF(T29&gt;0,$X$2,$X$4))</f>
        <v>Unfavorable</v>
      </c>
      <c r="E29" s="24" t="str">
        <f>IF(U29&lt;0,$X$3,IF(U29&gt;0,$X$2,$X$4))</f>
        <v>Favorable</v>
      </c>
      <c r="F29" s="24" t="str">
        <f>IF(V29&lt;0,$X$3,IF(V29&gt;0,$X$2,$X$4))</f>
        <v>Favorable</v>
      </c>
      <c r="Q29" s="20" t="s">
        <v>191</v>
      </c>
      <c r="R29">
        <f>SUM(R23:R28)</f>
        <v>-1</v>
      </c>
      <c r="S29">
        <f>SUM(S23:S28)</f>
        <v>0</v>
      </c>
      <c r="T29">
        <f>SUM(T23:T28)</f>
        <v>-1</v>
      </c>
      <c r="U29">
        <f>SUM(U23:U28)</f>
        <v>2</v>
      </c>
      <c r="V29">
        <f>SUM(V23:V28)</f>
        <v>2</v>
      </c>
    </row>
    <row r="30" spans="1:22" x14ac:dyDescent="0.2">
      <c r="E30" s="3"/>
      <c r="F30" s="3"/>
    </row>
    <row r="31" spans="1:22" x14ac:dyDescent="0.2">
      <c r="A31" s="2" t="s">
        <v>85</v>
      </c>
      <c r="B31" s="2"/>
      <c r="C31" s="2"/>
      <c r="D31" s="2"/>
    </row>
    <row r="32" spans="1:22" x14ac:dyDescent="0.2">
      <c r="A32" t="s">
        <v>86</v>
      </c>
      <c r="B32" s="29">
        <f>'balance sheet'!D16-'balance sheet'!K17</f>
        <v>514589</v>
      </c>
      <c r="C32" s="29">
        <f>'balance sheet'!E16-'balance sheet'!L17</f>
        <v>380303</v>
      </c>
      <c r="D32" s="29">
        <f>'balance sheet'!F16-'balance sheet'!M17</f>
        <v>492289</v>
      </c>
      <c r="E32" s="29">
        <f>'balance sheet'!G16-'balance sheet'!N17</f>
        <v>532967</v>
      </c>
      <c r="F32" s="29">
        <f>'balance sheet'!H16-'balance sheet'!O17</f>
        <v>532967</v>
      </c>
      <c r="G32" s="29">
        <v>500000</v>
      </c>
      <c r="J32">
        <v>500000</v>
      </c>
      <c r="K32">
        <v>500000</v>
      </c>
    </row>
    <row r="33" spans="1:22" x14ac:dyDescent="0.2">
      <c r="A33" t="s">
        <v>88</v>
      </c>
      <c r="B33" s="4">
        <f>'balance sheet'!D16/'balance sheet'!K17</f>
        <v>1.229501623850126</v>
      </c>
      <c r="C33" s="4">
        <f>'balance sheet'!E16/'balance sheet'!L17</f>
        <v>1.6517595483820107</v>
      </c>
      <c r="D33" s="4">
        <f>'balance sheet'!F16/'balance sheet'!M17</f>
        <v>1.4487806167657902</v>
      </c>
      <c r="E33" s="4">
        <f>'balance sheet'!G16/'balance sheet'!N17</f>
        <v>1.709098577457518</v>
      </c>
      <c r="F33" s="4">
        <f>'balance sheet'!H16/'balance sheet'!O17</f>
        <v>1.709098577457518</v>
      </c>
      <c r="G33" t="s">
        <v>105</v>
      </c>
      <c r="J33">
        <v>1.5</v>
      </c>
      <c r="K33">
        <v>2</v>
      </c>
      <c r="Q33" s="2" t="s">
        <v>85</v>
      </c>
    </row>
    <row r="34" spans="1:22" x14ac:dyDescent="0.2">
      <c r="A34" t="s">
        <v>89</v>
      </c>
      <c r="B34" s="25">
        <f>+B32/'income statement'!B7</f>
        <v>5.8335751760539428E-2</v>
      </c>
      <c r="C34" s="25">
        <f>+C32/'income statement'!C7</f>
        <v>4.1216674554816285E-2</v>
      </c>
      <c r="D34" s="25">
        <f>+D32/'income statement'!D7</f>
        <v>7.877731924217822E-2</v>
      </c>
      <c r="E34" s="25">
        <f>+E32/'income statement'!E7</f>
        <v>6.9056327668074791E-2</v>
      </c>
      <c r="F34" s="25">
        <f>+F32/'income statement'!F7</f>
        <v>6.9056327668074791E-2</v>
      </c>
      <c r="G34" t="s">
        <v>90</v>
      </c>
      <c r="H34" t="s">
        <v>87</v>
      </c>
      <c r="J34">
        <v>1.4999999999999999E-2</v>
      </c>
      <c r="K34">
        <v>2.5000000000000001E-2</v>
      </c>
      <c r="Q34" t="s">
        <v>86</v>
      </c>
      <c r="R34">
        <f>IF(ratios!B32&gt;ratios!$K32,1,IF(ratios!B32&lt;ratios!$J32,-1,0))</f>
        <v>1</v>
      </c>
      <c r="S34">
        <f>IF(ratios!C32&gt;ratios!$K32,1,IF(ratios!C32&lt;ratios!$J32,-1,0))</f>
        <v>-1</v>
      </c>
      <c r="T34">
        <f>IF(ratios!D32&gt;ratios!$K32,1,IF(ratios!D32&lt;ratios!$J32,-1,0))</f>
        <v>-1</v>
      </c>
      <c r="U34">
        <f>IF(ratios!E32&gt;ratios!$K32,1,IF(ratios!E32&lt;ratios!$J32,-1,0))</f>
        <v>1</v>
      </c>
      <c r="V34">
        <f>IF(ratios!F32&gt;ratios!$K32,1,IF(ratios!F32&lt;ratios!$J32,-1,0))</f>
        <v>1</v>
      </c>
    </row>
    <row r="35" spans="1:22" x14ac:dyDescent="0.2">
      <c r="B35" s="24" t="str">
        <f>IF(R37&lt;0,$X$3,IF(R37&gt;0,$X$2,$X$4))</f>
        <v>Favorable</v>
      </c>
      <c r="C35" s="24" t="str">
        <f t="shared" ref="C35:F35" si="5">IF(S37&lt;0,$X$3,IF(S37&gt;0,$X$2,$X$4))</f>
        <v>Neutral</v>
      </c>
      <c r="D35" s="24" t="str">
        <f t="shared" si="5"/>
        <v>Unfavorable</v>
      </c>
      <c r="E35" s="24" t="str">
        <f t="shared" si="5"/>
        <v>Favorable</v>
      </c>
      <c r="F35" s="24" t="str">
        <f t="shared" si="5"/>
        <v>Favorable</v>
      </c>
      <c r="Q35" t="s">
        <v>88</v>
      </c>
      <c r="R35">
        <f>IF(ratios!B33&gt;ratios!$K33,1,IF(ratios!B33&lt;ratios!$J33,-1,0))</f>
        <v>-1</v>
      </c>
      <c r="S35">
        <f>IF(ratios!C33&gt;ratios!$K33,1,IF(ratios!C33&lt;ratios!$J33,-1,0))</f>
        <v>0</v>
      </c>
      <c r="T35">
        <f>IF(ratios!D33&gt;ratios!$K33,1,IF(ratios!D33&lt;ratios!$J33,-1,0))</f>
        <v>-1</v>
      </c>
      <c r="U35">
        <f>IF(ratios!E33&gt;ratios!$K33,1,IF(ratios!E33&lt;ratios!$J33,-1,0))</f>
        <v>0</v>
      </c>
      <c r="V35">
        <f>IF(ratios!F33&gt;ratios!$K33,1,IF(ratios!F33&lt;ratios!$J33,-1,0))</f>
        <v>0</v>
      </c>
    </row>
    <row r="36" spans="1:22" x14ac:dyDescent="0.2">
      <c r="Q36" s="22" t="s">
        <v>89</v>
      </c>
      <c r="R36" s="22">
        <f>IF(ratios!B34&gt;ratios!$K34,1,IF(ratios!B34&lt;ratios!$J34,-1,0))</f>
        <v>1</v>
      </c>
      <c r="S36" s="22">
        <f>IF(ratios!C34&gt;ratios!$K34,1,IF(ratios!C34&lt;ratios!$J34,-1,0))</f>
        <v>1</v>
      </c>
      <c r="T36" s="22">
        <f>IF(ratios!D34&gt;ratios!$K34,1,IF(ratios!D34&lt;ratios!$J34,-1,0))</f>
        <v>1</v>
      </c>
      <c r="U36" s="22">
        <f>IF(ratios!E34&gt;ratios!$K34,1,IF(ratios!E34&lt;ratios!$J34,-1,0))</f>
        <v>1</v>
      </c>
      <c r="V36" s="22">
        <f>IF(ratios!F34&gt;ratios!$K34,1,IF(ratios!F34&lt;ratios!$J34,-1,0))</f>
        <v>1</v>
      </c>
    </row>
    <row r="37" spans="1:22" x14ac:dyDescent="0.2">
      <c r="A37" s="2" t="s">
        <v>101</v>
      </c>
      <c r="B37" s="2"/>
      <c r="C37" s="2"/>
      <c r="D37" s="2"/>
      <c r="Q37" s="20" t="s">
        <v>192</v>
      </c>
      <c r="R37">
        <f>SUM(R34:R36)</f>
        <v>1</v>
      </c>
      <c r="S37">
        <f>SUM(S34:S36)</f>
        <v>0</v>
      </c>
      <c r="T37">
        <f>SUM(T34:T36)</f>
        <v>-1</v>
      </c>
      <c r="U37">
        <f>SUM(U34:U36)</f>
        <v>2</v>
      </c>
      <c r="V37">
        <f>SUM(V34:V36)</f>
        <v>2</v>
      </c>
    </row>
    <row r="38" spans="1:22" x14ac:dyDescent="0.2">
      <c r="A38" s="8" t="s">
        <v>142</v>
      </c>
      <c r="B38" s="11">
        <f>('balance sheet'!K24)/'balance sheet'!D29</f>
        <v>7.7369532626909571E-2</v>
      </c>
      <c r="C38" s="11">
        <f>('balance sheet'!L24)/'balance sheet'!E29</f>
        <v>0.17647832129849933</v>
      </c>
      <c r="D38" s="11">
        <f>('balance sheet'!M24)/'balance sheet'!F29</f>
        <v>0.14148232093274057</v>
      </c>
      <c r="E38" s="11">
        <f>('balance sheet'!N24)/'balance sheet'!G29</f>
        <v>0.12859752649438236</v>
      </c>
      <c r="F38" s="11">
        <f>('balance sheet'!O24)/'balance sheet'!H29</f>
        <v>3.1073344744753383E-4</v>
      </c>
      <c r="G38" t="s">
        <v>141</v>
      </c>
      <c r="H38" s="20" t="s">
        <v>186</v>
      </c>
      <c r="J38">
        <v>0.4</v>
      </c>
      <c r="K38">
        <v>0.5</v>
      </c>
    </row>
    <row r="39" spans="1:22" x14ac:dyDescent="0.2">
      <c r="A39" t="s">
        <v>143</v>
      </c>
      <c r="B39" s="3">
        <f>+'balance sheet'!K24/'balance sheet'!K33</f>
        <v>0.21278498172290819</v>
      </c>
      <c r="C39" s="3">
        <f>+'balance sheet'!L24/'balance sheet'!L33</f>
        <v>0.30896526035428595</v>
      </c>
      <c r="D39" s="3">
        <f>+'balance sheet'!M24/'balance sheet'!M33</f>
        <v>0.25643659014571862</v>
      </c>
      <c r="E39" s="3">
        <f>+'balance sheet'!N24/'balance sheet'!N33</f>
        <v>0.20189025901082877</v>
      </c>
      <c r="F39" s="3">
        <f>+'balance sheet'!O24/'balance sheet'!O33</f>
        <v>4.27408979595067E-3</v>
      </c>
      <c r="G39" t="s">
        <v>141</v>
      </c>
      <c r="H39" t="s">
        <v>145</v>
      </c>
      <c r="J39">
        <v>0.4</v>
      </c>
      <c r="K39">
        <v>0.5</v>
      </c>
      <c r="Q39" s="2" t="s">
        <v>101</v>
      </c>
    </row>
    <row r="40" spans="1:22" x14ac:dyDescent="0.2">
      <c r="A40" t="s">
        <v>144</v>
      </c>
      <c r="B40" s="3">
        <f>+'balance sheet'!K24/('balance sheet'!K33-'balance sheet'!D27)</f>
        <v>0.2485644279298366</v>
      </c>
      <c r="C40" s="3">
        <f>+'balance sheet'!L24/('balance sheet'!L33-'balance sheet'!E27)</f>
        <v>0.35550371403458186</v>
      </c>
      <c r="D40" s="3">
        <f>+'balance sheet'!M24/('balance sheet'!M33-'balance sheet'!F27)</f>
        <v>0.39140156661518893</v>
      </c>
      <c r="E40" s="3">
        <f>+'balance sheet'!N24/('balance sheet'!N33-'balance sheet'!G27)</f>
        <v>0.29635531787191677</v>
      </c>
      <c r="F40" s="3">
        <f>+'balance sheet'!O24/('balance sheet'!O33-'balance sheet'!H27)</f>
        <v>-7.9921841045530481E-4</v>
      </c>
      <c r="G40" t="s">
        <v>103</v>
      </c>
      <c r="H40" t="s">
        <v>102</v>
      </c>
      <c r="J40">
        <v>0.3</v>
      </c>
      <c r="K40">
        <v>0.4</v>
      </c>
      <c r="Q40" s="8" t="s">
        <v>142</v>
      </c>
      <c r="R40">
        <f>IF(B38&lt;$J38,1,IF(B38&gt;$K38,-1,0))</f>
        <v>1</v>
      </c>
      <c r="S40">
        <f t="shared" ref="S40:V40" si="6">IF(C38&lt;$J38,1,IF(C38&gt;$K38,-1,0))</f>
        <v>1</v>
      </c>
      <c r="T40">
        <f t="shared" si="6"/>
        <v>1</v>
      </c>
      <c r="U40">
        <f t="shared" si="6"/>
        <v>1</v>
      </c>
      <c r="V40">
        <f t="shared" si="6"/>
        <v>1</v>
      </c>
    </row>
    <row r="41" spans="1:22" x14ac:dyDescent="0.2">
      <c r="A41" t="s">
        <v>140</v>
      </c>
      <c r="B41" s="3">
        <f>'balance sheet'!K33/'balance sheet'!D29</f>
        <v>0.36360429199679772</v>
      </c>
      <c r="C41" s="3">
        <f>'balance sheet'!L33/'balance sheet'!E29</f>
        <v>0.57119147018708261</v>
      </c>
      <c r="D41" s="3">
        <f>'balance sheet'!M33/'balance sheet'!F29</f>
        <v>0.55172438867770024</v>
      </c>
      <c r="E41" s="3">
        <f>'balance sheet'!N33/'balance sheet'!G29</f>
        <v>0.63696746502011659</v>
      </c>
      <c r="F41" s="3">
        <f>'balance sheet'!O33/'balance sheet'!H29</f>
        <v>7.2701665683750236E-2</v>
      </c>
      <c r="G41" t="s">
        <v>106</v>
      </c>
      <c r="H41" t="s">
        <v>104</v>
      </c>
      <c r="J41">
        <v>0.5</v>
      </c>
      <c r="K41">
        <v>0.6</v>
      </c>
      <c r="Q41" t="s">
        <v>143</v>
      </c>
      <c r="R41">
        <f>IF(B39&lt;$J39,1,IF(B39&gt;$K39,-1,0))</f>
        <v>1</v>
      </c>
      <c r="S41">
        <f t="shared" ref="S41:V41" si="7">IF(C39&lt;$J39,1,IF(C39&gt;$K39,-1,0))</f>
        <v>1</v>
      </c>
      <c r="T41">
        <f t="shared" si="7"/>
        <v>1</v>
      </c>
      <c r="U41">
        <f t="shared" si="7"/>
        <v>1</v>
      </c>
      <c r="V41">
        <f t="shared" si="7"/>
        <v>1</v>
      </c>
    </row>
    <row r="42" spans="1:22" x14ac:dyDescent="0.2">
      <c r="A42" t="s">
        <v>119</v>
      </c>
      <c r="B42" s="3">
        <f>('balance sheet'!K33-'balance sheet'!D27)/'balance sheet'!K33</f>
        <v>0.85605564519059807</v>
      </c>
      <c r="C42" s="3">
        <f>('balance sheet'!L33-'balance sheet'!E27)/'balance sheet'!L33</f>
        <v>0.86909151200662604</v>
      </c>
      <c r="D42" s="3">
        <f>('balance sheet'!M33-'balance sheet'!F27)/'balance sheet'!M33</f>
        <v>0.65517517562170946</v>
      </c>
      <c r="E42" s="3">
        <f>('balance sheet'!N33-'balance sheet'!G27)/'balance sheet'!N33</f>
        <v>0.68124392185897831</v>
      </c>
      <c r="F42" s="3">
        <f>('balance sheet'!O33-'balance sheet'!H27)/'balance sheet'!O33</f>
        <v>-5.3478370118072904</v>
      </c>
      <c r="G42" t="s">
        <v>151</v>
      </c>
      <c r="J42">
        <v>0.75</v>
      </c>
      <c r="K42">
        <v>0.85</v>
      </c>
      <c r="Q42" t="s">
        <v>144</v>
      </c>
      <c r="R42">
        <f>IF(B40&lt;$J40,1,IF(B40&gt;$K40,-1,0))</f>
        <v>1</v>
      </c>
      <c r="S42">
        <f t="shared" ref="S42:V42" si="8">IF(C40&lt;$J40,1,IF(C40&gt;$K40,-1,0))</f>
        <v>0</v>
      </c>
      <c r="T42">
        <f t="shared" si="8"/>
        <v>0</v>
      </c>
      <c r="U42">
        <f t="shared" si="8"/>
        <v>1</v>
      </c>
      <c r="V42">
        <f t="shared" si="8"/>
        <v>1</v>
      </c>
    </row>
    <row r="43" spans="1:22" x14ac:dyDescent="0.2">
      <c r="A43" t="s">
        <v>153</v>
      </c>
      <c r="B43" s="29">
        <f>+'balance sheet'!D16-'balance sheet'!K17</f>
        <v>514589</v>
      </c>
      <c r="C43" s="29">
        <f>+'balance sheet'!E16-'balance sheet'!L17</f>
        <v>380303</v>
      </c>
      <c r="D43" s="29">
        <f>+'balance sheet'!F16-'balance sheet'!M17</f>
        <v>492289</v>
      </c>
      <c r="E43" s="29">
        <f>+'balance sheet'!G16-'balance sheet'!N17</f>
        <v>532967</v>
      </c>
      <c r="F43" s="29">
        <f>+'balance sheet'!H16-'balance sheet'!O17</f>
        <v>532967</v>
      </c>
      <c r="G43" s="1"/>
      <c r="H43" t="s">
        <v>87</v>
      </c>
      <c r="Q43" t="s">
        <v>140</v>
      </c>
      <c r="R43">
        <f>IF(ratios!B41&gt;ratios!$K41,1,IF(ratios!B41&lt;ratios!$J41,-1,0))</f>
        <v>-1</v>
      </c>
      <c r="S43">
        <f>IF(ratios!C41&gt;ratios!$K41,1,IF(ratios!C41&lt;ratios!$J41,-1,0))</f>
        <v>0</v>
      </c>
      <c r="T43">
        <f>IF(ratios!D41&gt;ratios!$K41,1,IF(ratios!D41&lt;ratios!$J41,-1,0))</f>
        <v>0</v>
      </c>
      <c r="U43">
        <f>IF(ratios!E41&gt;ratios!$K41,1,IF(ratios!E41&lt;ratios!$J41,-1,0))</f>
        <v>1</v>
      </c>
      <c r="V43">
        <f>IF(ratios!F41&gt;ratios!$K41,1,IF(ratios!F41&lt;ratios!$J41,-1,0))</f>
        <v>-1</v>
      </c>
    </row>
    <row r="44" spans="1:22" x14ac:dyDescent="0.2">
      <c r="A44" t="s">
        <v>154</v>
      </c>
      <c r="B44" s="30">
        <f>+('income statement'!B5)*0.015+('income statement'!B6*0.02)</f>
        <v>150641.22500000001</v>
      </c>
      <c r="C44" s="30">
        <f>+('income statement'!C5)*0.015+('income statement'!C6*0.02)</f>
        <v>155132.66499999998</v>
      </c>
      <c r="D44" s="30">
        <f>+('income statement'!D5)*0.015+('income statement'!D6*0.02)</f>
        <v>108467.60500000001</v>
      </c>
      <c r="E44" s="30">
        <f>+('income statement'!E5)*0.015+('income statement'!E6*0.02)</f>
        <v>130908.31</v>
      </c>
      <c r="F44" s="30">
        <f>+('income statement'!F5)*0.015+('income statement'!F6*0.02)</f>
        <v>130908.31</v>
      </c>
      <c r="Q44" t="s">
        <v>119</v>
      </c>
      <c r="R44">
        <f>IF(ratios!B42&gt;ratios!$K42,1,IF(ratios!B42&lt;ratios!$J42,-1,0))</f>
        <v>1</v>
      </c>
      <c r="S44">
        <f>IF(ratios!C42&gt;ratios!$K42,1,IF(ratios!C42&lt;ratios!$J42,-1,0))</f>
        <v>1</v>
      </c>
      <c r="T44">
        <f>IF(ratios!D42&gt;ratios!$K42,1,IF(ratios!D42&lt;ratios!$J42,-1,0))</f>
        <v>-1</v>
      </c>
      <c r="U44">
        <f>IF(ratios!E42&gt;ratios!$K42,1,IF(ratios!E42&lt;ratios!$J42,-1,0))</f>
        <v>-1</v>
      </c>
      <c r="V44">
        <f>IF(ratios!F42&gt;ratios!$K42,1,IF(ratios!F42&lt;ratios!$J42,-1,0))</f>
        <v>-1</v>
      </c>
    </row>
    <row r="45" spans="1:22" x14ac:dyDescent="0.2">
      <c r="B45" s="24" t="str">
        <f>IF(R47&lt;0,$X$3,IF(R47&gt;0,$X$2,$X$4))</f>
        <v>Favorable</v>
      </c>
      <c r="C45" s="24" t="str">
        <f t="shared" ref="C45:F45" si="9">IF(S47&lt;0,$X$3,IF(S47&gt;0,$X$2,$X$4))</f>
        <v>Favorable</v>
      </c>
      <c r="D45" s="24" t="str">
        <f t="shared" si="9"/>
        <v>Favorable</v>
      </c>
      <c r="E45" s="24" t="str">
        <f t="shared" si="9"/>
        <v>Favorable</v>
      </c>
      <c r="F45" s="24" t="str">
        <f t="shared" si="9"/>
        <v>Favorable</v>
      </c>
      <c r="Q45" t="s">
        <v>153</v>
      </c>
    </row>
    <row r="46" spans="1:22" x14ac:dyDescent="0.2">
      <c r="Q46" s="22" t="s">
        <v>154</v>
      </c>
      <c r="R46" s="22"/>
      <c r="S46" s="22"/>
      <c r="T46" s="22"/>
      <c r="U46" s="22"/>
      <c r="V46" s="22"/>
    </row>
    <row r="47" spans="1:22" x14ac:dyDescent="0.2">
      <c r="Q47" s="20" t="s">
        <v>193</v>
      </c>
      <c r="R47">
        <f>SUM(R40:R46)</f>
        <v>3</v>
      </c>
      <c r="S47">
        <f>SUM(S40:S46)</f>
        <v>3</v>
      </c>
      <c r="T47">
        <f>SUM(T40:T46)</f>
        <v>1</v>
      </c>
      <c r="U47">
        <f>SUM(U40:U46)</f>
        <v>3</v>
      </c>
      <c r="V47">
        <f>SUM(V40:V46)</f>
        <v>1</v>
      </c>
    </row>
  </sheetData>
  <phoneticPr fontId="0" type="noConversion"/>
  <conditionalFormatting sqref="B7:F7">
    <cfRule type="cellIs" dxfId="51" priority="68" operator="greaterThan">
      <formula>$K$7</formula>
    </cfRule>
  </conditionalFormatting>
  <conditionalFormatting sqref="B7:F7">
    <cfRule type="cellIs" dxfId="50" priority="67" operator="lessThan">
      <formula>$J$7</formula>
    </cfRule>
  </conditionalFormatting>
  <conditionalFormatting sqref="B4:F4">
    <cfRule type="cellIs" dxfId="49" priority="65" operator="lessThan">
      <formula>$J$4</formula>
    </cfRule>
    <cfRule type="cellIs" dxfId="48" priority="66" operator="greaterThan">
      <formula>$K$4</formula>
    </cfRule>
  </conditionalFormatting>
  <conditionalFormatting sqref="B8:F8">
    <cfRule type="cellIs" dxfId="47" priority="61" operator="lessThan">
      <formula>$J$8</formula>
    </cfRule>
    <cfRule type="cellIs" dxfId="46" priority="62" operator="greaterThan">
      <formula>$K$8</formula>
    </cfRule>
  </conditionalFormatting>
  <conditionalFormatting sqref="B23:F23">
    <cfRule type="cellIs" dxfId="45" priority="47" operator="lessThan">
      <formula>$J$23</formula>
    </cfRule>
    <cfRule type="cellIs" dxfId="44" priority="48" operator="greaterThan">
      <formula>$K$23</formula>
    </cfRule>
  </conditionalFormatting>
  <conditionalFormatting sqref="B24:F24">
    <cfRule type="cellIs" dxfId="43" priority="45" operator="lessThan">
      <formula>$J$24</formula>
    </cfRule>
    <cfRule type="cellIs" dxfId="42" priority="46" operator="greaterThan">
      <formula>$K$24</formula>
    </cfRule>
  </conditionalFormatting>
  <conditionalFormatting sqref="B25:F25">
    <cfRule type="cellIs" dxfId="41" priority="43" operator="lessThan">
      <formula>$J$25</formula>
    </cfRule>
    <cfRule type="cellIs" dxfId="40" priority="44" operator="greaterThan">
      <formula>$K$25</formula>
    </cfRule>
  </conditionalFormatting>
  <conditionalFormatting sqref="B26:F26">
    <cfRule type="cellIs" dxfId="39" priority="41" operator="greaterThan">
      <formula>$J$26</formula>
    </cfRule>
    <cfRule type="cellIs" dxfId="38" priority="42" operator="lessThan">
      <formula>$K$26</formula>
    </cfRule>
  </conditionalFormatting>
  <conditionalFormatting sqref="B28:F28">
    <cfRule type="cellIs" dxfId="37" priority="39" operator="lessThan">
      <formula>$J$28</formula>
    </cfRule>
    <cfRule type="cellIs" dxfId="36" priority="40" operator="greaterThan">
      <formula>$K$28</formula>
    </cfRule>
  </conditionalFormatting>
  <conditionalFormatting sqref="B33:F33">
    <cfRule type="cellIs" dxfId="35" priority="37" operator="lessThan">
      <formula>$J$33</formula>
    </cfRule>
    <cfRule type="cellIs" dxfId="34" priority="38" operator="greaterThan">
      <formula>$K$33</formula>
    </cfRule>
  </conditionalFormatting>
  <conditionalFormatting sqref="B34:F34">
    <cfRule type="cellIs" dxfId="33" priority="35" operator="lessThan">
      <formula>$J$34</formula>
    </cfRule>
    <cfRule type="cellIs" dxfId="32" priority="36" operator="greaterThan">
      <formula>$K$34</formula>
    </cfRule>
  </conditionalFormatting>
  <conditionalFormatting sqref="B41:F41">
    <cfRule type="cellIs" dxfId="31" priority="27" operator="lessThan">
      <formula>$J$41</formula>
    </cfRule>
    <cfRule type="cellIs" dxfId="30" priority="28" operator="greaterThan">
      <formula>$K$41</formula>
    </cfRule>
  </conditionalFormatting>
  <conditionalFormatting sqref="B42:F42">
    <cfRule type="cellIs" dxfId="29" priority="25" operator="lessThan">
      <formula>$J$42</formula>
    </cfRule>
    <cfRule type="cellIs" dxfId="28" priority="26" operator="greaterThan">
      <formula>$K$42</formula>
    </cfRule>
  </conditionalFormatting>
  <conditionalFormatting sqref="B10:F10">
    <cfRule type="cellIs" dxfId="27" priority="59" operator="lessThan">
      <formula>$J$10</formula>
    </cfRule>
    <cfRule type="cellIs" dxfId="26" priority="60" operator="greaterThan">
      <formula>$K$10</formula>
    </cfRule>
  </conditionalFormatting>
  <conditionalFormatting sqref="B9:F9">
    <cfRule type="cellIs" dxfId="25" priority="23" operator="lessThan">
      <formula>$J$9</formula>
    </cfRule>
    <cfRule type="cellIs" dxfId="24" priority="24" operator="greaterThan">
      <formula>$K$9</formula>
    </cfRule>
  </conditionalFormatting>
  <conditionalFormatting sqref="B11:F11">
    <cfRule type="cellIs" dxfId="23" priority="21" operator="lessThan">
      <formula>$J$11</formula>
    </cfRule>
    <cfRule type="cellIs" dxfId="22" priority="22" operator="greaterThan">
      <formula>$K$11</formula>
    </cfRule>
  </conditionalFormatting>
  <conditionalFormatting sqref="C38:F38">
    <cfRule type="cellIs" dxfId="21" priority="19" operator="lessThan">
      <formula>$J$38</formula>
    </cfRule>
    <cfRule type="cellIs" dxfId="20" priority="20" operator="greaterThan">
      <formula>$K$38</formula>
    </cfRule>
  </conditionalFormatting>
  <conditionalFormatting sqref="C39:F39">
    <cfRule type="cellIs" dxfId="19" priority="17" operator="lessThan">
      <formula>$J$39</formula>
    </cfRule>
    <cfRule type="cellIs" dxfId="18" priority="18" operator="greaterThan">
      <formula>$K$39</formula>
    </cfRule>
  </conditionalFormatting>
  <conditionalFormatting sqref="C40:F40">
    <cfRule type="cellIs" dxfId="17" priority="15" operator="lessThan">
      <formula>$J$40</formula>
    </cfRule>
    <cfRule type="cellIs" dxfId="16" priority="16" operator="greaterThan">
      <formula>$K$40</formula>
    </cfRule>
  </conditionalFormatting>
  <conditionalFormatting sqref="B5:F5">
    <cfRule type="cellIs" dxfId="15" priority="63" operator="lessThan">
      <formula>$J$5</formula>
    </cfRule>
    <cfRule type="cellIs" dxfId="14" priority="64" operator="greaterThan">
      <formula>$K$5</formula>
    </cfRule>
  </conditionalFormatting>
  <conditionalFormatting sqref="B6:F6">
    <cfRule type="cellIs" dxfId="13" priority="13" operator="lessThan">
      <formula>$J$6</formula>
    </cfRule>
    <cfRule type="cellIs" dxfId="12" priority="14" operator="greaterThan">
      <formula>$K$6</formula>
    </cfRule>
  </conditionalFormatting>
  <conditionalFormatting sqref="B32:F32">
    <cfRule type="cellIs" dxfId="11" priority="11" operator="lessThan">
      <formula>$J$32</formula>
    </cfRule>
    <cfRule type="cellIs" dxfId="10" priority="12" operator="greaterThan">
      <formula>$J$32</formula>
    </cfRule>
  </conditionalFormatting>
  <conditionalFormatting sqref="B15:F15">
    <cfRule type="cellIs" dxfId="9" priority="9" operator="lessThan">
      <formula>J15</formula>
    </cfRule>
    <cfRule type="cellIs" dxfId="8" priority="10" operator="greaterThan">
      <formula>K15</formula>
    </cfRule>
  </conditionalFormatting>
  <conditionalFormatting sqref="B16:F16">
    <cfRule type="cellIs" dxfId="7" priority="7" operator="lessThan">
      <formula>J16</formula>
    </cfRule>
    <cfRule type="cellIs" dxfId="6" priority="8" operator="greaterThan">
      <formula>K16</formula>
    </cfRule>
  </conditionalFormatting>
  <conditionalFormatting sqref="B17:F17">
    <cfRule type="cellIs" dxfId="5" priority="5" operator="lessThan">
      <formula>J17</formula>
    </cfRule>
    <cfRule type="cellIs" dxfId="4" priority="6" operator="greaterThan">
      <formula>K17</formula>
    </cfRule>
  </conditionalFormatting>
  <conditionalFormatting sqref="B18:F18">
    <cfRule type="cellIs" dxfId="3" priority="3" operator="lessThan">
      <formula>J18</formula>
    </cfRule>
    <cfRule type="cellIs" dxfId="2" priority="4" operator="greaterThan">
      <formula>K18</formula>
    </cfRule>
  </conditionalFormatting>
  <conditionalFormatting sqref="B19:F19">
    <cfRule type="cellIs" dxfId="1" priority="1" operator="lessThan">
      <formula>J19</formula>
    </cfRule>
    <cfRule type="cellIs" dxfId="0" priority="2" operator="greaterThan">
      <formula>K19</formula>
    </cfRule>
  </conditionalFormatting>
  <printOptions gridLines="1"/>
  <pageMargins left="0.75" right="0.75" top="1" bottom="1" header="0.5" footer="0.5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49</v>
      </c>
    </row>
    <row r="2" spans="1:1" x14ac:dyDescent="0.2">
      <c r="A2">
        <f>+(10-7)/7</f>
        <v>0.42857142857142855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Introduction</vt:lpstr>
      <vt:lpstr>income statement</vt:lpstr>
      <vt:lpstr>balance sheet</vt:lpstr>
      <vt:lpstr>ratios</vt:lpstr>
      <vt:lpstr>Sheet4</vt:lpstr>
      <vt:lpstr>WC Grapsh</vt:lpstr>
      <vt:lpstr>Exp Ratio Graph</vt:lpstr>
      <vt:lpstr>Profit Ratio Graph</vt:lpstr>
      <vt:lpstr>Efficiency Ratio Graphs</vt:lpstr>
      <vt:lpstr>'balance sheet'!Print_Area</vt:lpstr>
      <vt:lpstr>'income statement'!Print_Area</vt:lpstr>
      <vt:lpstr>ratios!Print_Area</vt:lpstr>
    </vt:vector>
  </TitlesOfParts>
  <Company>Oklahoma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Kenkel</dc:creator>
  <cp:lastModifiedBy>user</cp:lastModifiedBy>
  <cp:lastPrinted>2011-09-30T14:41:45Z</cp:lastPrinted>
  <dcterms:created xsi:type="dcterms:W3CDTF">2004-10-01T14:14:32Z</dcterms:created>
  <dcterms:modified xsi:type="dcterms:W3CDTF">2017-09-30T16:44:37Z</dcterms:modified>
</cp:coreProperties>
</file>