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ag\AG 2\Co-Operatives\"/>
    </mc:Choice>
  </mc:AlternateContent>
  <bookViews>
    <workbookView xWindow="120" yWindow="90" windowWidth="15480" windowHeight="11580" tabRatio="822" firstSheet="9" activeTab="14"/>
  </bookViews>
  <sheets>
    <sheet name="Instructions" sheetId="15" r:id="rId1"/>
    <sheet name="Prior year summary" sheetId="2" r:id="rId2"/>
    <sheet name="Monthly Sales Worksheet" sheetId="3" r:id="rId3"/>
    <sheet name="5 year history" sheetId="1" r:id="rId4"/>
    <sheet name="Monthly Income Worksheet" sheetId="4" r:id="rId5"/>
    <sheet name="Monthly Expense Worksheet" sheetId="5" r:id="rId6"/>
    <sheet name="Acc Rec Worksheet" sheetId="10" r:id="rId7"/>
    <sheet name="Cashflow" sheetId="12" r:id="rId8"/>
    <sheet name="Balance sheet" sheetId="13" r:id="rId9"/>
    <sheet name="Fixed Asset Worksheet" sheetId="11" r:id="rId10"/>
    <sheet name="Sales Budget" sheetId="6" r:id="rId11"/>
    <sheet name="Income Budget" sheetId="7" r:id="rId12"/>
    <sheet name="Expense budget" sheetId="8" r:id="rId13"/>
    <sheet name="Profit Summary" sheetId="9" r:id="rId14"/>
    <sheet name="Working Capital" sheetId="14" r:id="rId15"/>
  </sheets>
  <calcPr calcId="152511"/>
</workbook>
</file>

<file path=xl/calcChain.xml><?xml version="1.0" encoding="utf-8"?>
<calcChain xmlns="http://schemas.openxmlformats.org/spreadsheetml/2006/main">
  <c r="K18" i="13" l="1"/>
  <c r="E1" i="6"/>
  <c r="A1" i="6"/>
  <c r="D1" i="14"/>
  <c r="A1" i="14"/>
  <c r="E1" i="9"/>
  <c r="A1" i="9"/>
  <c r="E2" i="8"/>
  <c r="A2" i="8"/>
  <c r="C2" i="7"/>
  <c r="A2" i="7"/>
  <c r="B46" i="12"/>
  <c r="C46" i="12"/>
  <c r="D46" i="12"/>
  <c r="E46" i="12"/>
  <c r="F46" i="12"/>
  <c r="G46" i="12"/>
  <c r="H46" i="12"/>
  <c r="I46" i="12"/>
  <c r="J46" i="12"/>
  <c r="K46" i="12"/>
  <c r="L46" i="12"/>
  <c r="G7" i="3"/>
  <c r="E7" i="3"/>
  <c r="N14" i="12"/>
  <c r="N32" i="12"/>
  <c r="E13" i="13" s="1"/>
  <c r="N11" i="12"/>
  <c r="N44" i="12"/>
  <c r="N31" i="12"/>
  <c r="N10" i="12"/>
  <c r="N35" i="12"/>
  <c r="N13" i="12"/>
  <c r="N12" i="12"/>
  <c r="M19" i="12"/>
  <c r="L19" i="12"/>
  <c r="K19" i="12"/>
  <c r="J19" i="12"/>
  <c r="I19" i="12"/>
  <c r="H19" i="12"/>
  <c r="G19" i="12"/>
  <c r="F19" i="12"/>
  <c r="E19" i="12"/>
  <c r="D19" i="12"/>
  <c r="C19" i="12"/>
  <c r="B19" i="12"/>
  <c r="O129" i="6"/>
  <c r="O95" i="6"/>
  <c r="N95" i="6"/>
  <c r="M95" i="6"/>
  <c r="L95" i="6"/>
  <c r="K95" i="6"/>
  <c r="J95" i="6"/>
  <c r="I95" i="6"/>
  <c r="H95" i="6"/>
  <c r="G95" i="6"/>
  <c r="F95" i="6"/>
  <c r="E95" i="6"/>
  <c r="D95" i="6"/>
  <c r="C95" i="6"/>
  <c r="O70" i="6"/>
  <c r="N70" i="6"/>
  <c r="M70" i="6"/>
  <c r="L70" i="6"/>
  <c r="K70" i="6"/>
  <c r="J70" i="6"/>
  <c r="I70" i="6"/>
  <c r="H70" i="6"/>
  <c r="G70" i="6"/>
  <c r="F70" i="6"/>
  <c r="E70" i="6"/>
  <c r="D70" i="6"/>
  <c r="C70" i="6"/>
  <c r="E12" i="13" l="1"/>
  <c r="M13" i="13"/>
  <c r="N23" i="12"/>
  <c r="E36" i="2"/>
  <c r="A9" i="4"/>
  <c r="N40" i="12"/>
  <c r="M25" i="13" s="1"/>
  <c r="A5" i="12"/>
  <c r="A4" i="13"/>
  <c r="E2" i="11"/>
  <c r="A5" i="10"/>
  <c r="A6" i="5"/>
  <c r="C6" i="4"/>
  <c r="C2" i="2"/>
  <c r="D6" i="1"/>
  <c r="E9" i="2" l="1"/>
  <c r="M11" i="3" l="1"/>
  <c r="L11" i="3"/>
  <c r="K11" i="3"/>
  <c r="J11" i="3"/>
  <c r="I11" i="3"/>
  <c r="H11" i="3"/>
  <c r="G11" i="3"/>
  <c r="F11" i="3"/>
  <c r="E11" i="3"/>
  <c r="D11" i="3"/>
  <c r="C11" i="3"/>
  <c r="E51" i="2"/>
  <c r="O88" i="4"/>
  <c r="N88" i="4" s="1"/>
  <c r="N89" i="4" s="1"/>
  <c r="M21" i="3"/>
  <c r="L21" i="3"/>
  <c r="K21" i="3"/>
  <c r="J21" i="3"/>
  <c r="I21" i="3"/>
  <c r="H21" i="3"/>
  <c r="C21" i="3"/>
  <c r="M18" i="3"/>
  <c r="L18" i="3"/>
  <c r="K18" i="3"/>
  <c r="J18" i="3"/>
  <c r="I18" i="3"/>
  <c r="H18" i="3"/>
  <c r="C18" i="3"/>
  <c r="M15" i="3"/>
  <c r="L15" i="3"/>
  <c r="K15" i="3"/>
  <c r="J15" i="3"/>
  <c r="I15" i="3"/>
  <c r="H15" i="3"/>
  <c r="K12" i="3"/>
  <c r="M12" i="3"/>
  <c r="L12" i="3"/>
  <c r="J12" i="3"/>
  <c r="I12" i="3"/>
  <c r="H12" i="3"/>
  <c r="C12" i="3"/>
  <c r="C9" i="3"/>
  <c r="M9" i="3"/>
  <c r="L9" i="3"/>
  <c r="K9" i="3"/>
  <c r="J9" i="3"/>
  <c r="I9" i="3"/>
  <c r="H9" i="3"/>
  <c r="D1" i="2"/>
  <c r="C1" i="2"/>
  <c r="A1" i="2"/>
  <c r="F85" i="2"/>
  <c r="E46" i="8" s="1"/>
  <c r="C34" i="8"/>
  <c r="C35" i="8" s="1"/>
  <c r="D34" i="8"/>
  <c r="E34" i="8"/>
  <c r="F34" i="8"/>
  <c r="G34" i="8"/>
  <c r="H34" i="8"/>
  <c r="I34" i="8"/>
  <c r="J34" i="8"/>
  <c r="K34" i="8"/>
  <c r="L34" i="8"/>
  <c r="M34" i="8"/>
  <c r="J14" i="1"/>
  <c r="D9" i="1"/>
  <c r="E9" i="1" s="1"/>
  <c r="F9" i="1" s="1"/>
  <c r="G9" i="1" s="1"/>
  <c r="J9" i="1" s="1"/>
  <c r="K37" i="13"/>
  <c r="G26" i="1" s="1"/>
  <c r="H26" i="1" s="1"/>
  <c r="C87" i="7"/>
  <c r="D87" i="7"/>
  <c r="C21" i="12" s="1"/>
  <c r="E87" i="7"/>
  <c r="F87" i="7"/>
  <c r="E21" i="12" s="1"/>
  <c r="G87" i="7"/>
  <c r="F21" i="12" s="1"/>
  <c r="H87" i="7"/>
  <c r="I87" i="7"/>
  <c r="H21" i="12" s="1"/>
  <c r="J87" i="7"/>
  <c r="I21" i="12" s="1"/>
  <c r="K87" i="7"/>
  <c r="J21" i="12" s="1"/>
  <c r="L87" i="7"/>
  <c r="M87" i="7"/>
  <c r="N52" i="12"/>
  <c r="M14" i="13" s="1"/>
  <c r="L12" i="14"/>
  <c r="K12" i="14"/>
  <c r="J12" i="14"/>
  <c r="I12" i="14"/>
  <c r="H12" i="14"/>
  <c r="G12" i="14"/>
  <c r="F12" i="14"/>
  <c r="E12" i="14"/>
  <c r="D12" i="14"/>
  <c r="C12" i="14"/>
  <c r="B12" i="14"/>
  <c r="H126" i="2"/>
  <c r="H125" i="2"/>
  <c r="D125" i="2"/>
  <c r="C43" i="6"/>
  <c r="C61" i="6"/>
  <c r="C133" i="6" s="1"/>
  <c r="O66" i="3"/>
  <c r="L67" i="3" s="1"/>
  <c r="C27" i="3"/>
  <c r="C30" i="3"/>
  <c r="C33" i="3"/>
  <c r="C36" i="3"/>
  <c r="C39" i="3"/>
  <c r="C42" i="3"/>
  <c r="C45" i="3"/>
  <c r="C48" i="3"/>
  <c r="C51" i="3"/>
  <c r="C54" i="3"/>
  <c r="C57" i="3"/>
  <c r="C60" i="3"/>
  <c r="C63" i="3"/>
  <c r="C66" i="3"/>
  <c r="C4" i="7"/>
  <c r="C7" i="7"/>
  <c r="C10" i="7"/>
  <c r="C13" i="7"/>
  <c r="C14" i="7" s="1"/>
  <c r="C16" i="7"/>
  <c r="C19" i="7"/>
  <c r="C22" i="7"/>
  <c r="C25" i="7"/>
  <c r="C26" i="7" s="1"/>
  <c r="C28" i="7"/>
  <c r="C31" i="7"/>
  <c r="C34" i="7"/>
  <c r="C37" i="7"/>
  <c r="C40" i="7"/>
  <c r="C43" i="7"/>
  <c r="C46" i="7"/>
  <c r="C49" i="7"/>
  <c r="C52" i="7"/>
  <c r="C55" i="7"/>
  <c r="C58" i="7"/>
  <c r="C61" i="7"/>
  <c r="C64" i="7"/>
  <c r="C67" i="7"/>
  <c r="C68" i="7" s="1"/>
  <c r="C70" i="7"/>
  <c r="C73" i="7"/>
  <c r="C76" i="7"/>
  <c r="C77" i="7" s="1"/>
  <c r="C79" i="7"/>
  <c r="C4" i="8"/>
  <c r="C5" i="8" s="1"/>
  <c r="C7" i="8"/>
  <c r="C8" i="8" s="1"/>
  <c r="C10" i="8"/>
  <c r="C13" i="8"/>
  <c r="C16" i="8"/>
  <c r="C17" i="8" s="1"/>
  <c r="C19" i="8"/>
  <c r="C22" i="8"/>
  <c r="C31" i="8"/>
  <c r="C37" i="8"/>
  <c r="C40" i="8"/>
  <c r="C43" i="8"/>
  <c r="C44" i="8" s="1"/>
  <c r="C49" i="8"/>
  <c r="C52" i="8"/>
  <c r="C55" i="8"/>
  <c r="C58" i="8"/>
  <c r="C61" i="8"/>
  <c r="C64" i="8"/>
  <c r="C67" i="8"/>
  <c r="C68" i="8" s="1"/>
  <c r="C70" i="8"/>
  <c r="C71" i="8" s="1"/>
  <c r="C73" i="8"/>
  <c r="C74" i="8" s="1"/>
  <c r="C76" i="8"/>
  <c r="C77" i="8" s="1"/>
  <c r="C79" i="8"/>
  <c r="C82" i="8"/>
  <c r="C85" i="8"/>
  <c r="C88" i="8"/>
  <c r="C91" i="8"/>
  <c r="C92" i="8" s="1"/>
  <c r="C94" i="8"/>
  <c r="C95" i="8" s="1"/>
  <c r="C97" i="8"/>
  <c r="C100" i="8"/>
  <c r="C101" i="8" s="1"/>
  <c r="C103" i="8"/>
  <c r="C104" i="8" s="1"/>
  <c r="C106" i="8"/>
  <c r="C109" i="8"/>
  <c r="C110" i="8" s="1"/>
  <c r="C112" i="8"/>
  <c r="C113" i="8" s="1"/>
  <c r="C115" i="8"/>
  <c r="C116" i="8" s="1"/>
  <c r="C118" i="8"/>
  <c r="C121" i="8"/>
  <c r="C122" i="8" s="1"/>
  <c r="C124" i="8"/>
  <c r="C127" i="8"/>
  <c r="C130" i="8"/>
  <c r="C133" i="8"/>
  <c r="C134" i="8" s="1"/>
  <c r="C136" i="8"/>
  <c r="C137" i="8" s="1"/>
  <c r="C139" i="8"/>
  <c r="C140" i="8" s="1"/>
  <c r="C142" i="8"/>
  <c r="C143" i="8" s="1"/>
  <c r="C145" i="8"/>
  <c r="C146" i="8" s="1"/>
  <c r="C148" i="8"/>
  <c r="C149" i="8" s="1"/>
  <c r="D43" i="6"/>
  <c r="D115" i="6" s="1"/>
  <c r="D61" i="6"/>
  <c r="D133" i="6" s="1"/>
  <c r="D64" i="6"/>
  <c r="D136" i="6" s="1"/>
  <c r="D30" i="3"/>
  <c r="D39" i="3"/>
  <c r="D42" i="3"/>
  <c r="D48" i="3"/>
  <c r="O9" i="3"/>
  <c r="D4" i="7"/>
  <c r="D7" i="7"/>
  <c r="D10" i="7"/>
  <c r="D13" i="7"/>
  <c r="D16" i="7"/>
  <c r="D19" i="7"/>
  <c r="D22" i="7"/>
  <c r="D25" i="7"/>
  <c r="D28" i="7"/>
  <c r="D31" i="7"/>
  <c r="D34" i="7"/>
  <c r="D37" i="7"/>
  <c r="D40" i="7"/>
  <c r="D43" i="7"/>
  <c r="D46" i="7"/>
  <c r="D49" i="7"/>
  <c r="D52" i="7"/>
  <c r="D55" i="7"/>
  <c r="D58" i="7"/>
  <c r="D61" i="7"/>
  <c r="D64" i="7"/>
  <c r="D67" i="7"/>
  <c r="D70" i="7"/>
  <c r="D73" i="7"/>
  <c r="D76" i="7"/>
  <c r="D79" i="7"/>
  <c r="D4" i="8"/>
  <c r="D7" i="8"/>
  <c r="D10" i="8"/>
  <c r="D13" i="8"/>
  <c r="D16" i="8"/>
  <c r="D19" i="8"/>
  <c r="D22" i="8"/>
  <c r="D31" i="8"/>
  <c r="D37" i="8"/>
  <c r="D40" i="8"/>
  <c r="D43" i="8"/>
  <c r="D49" i="8"/>
  <c r="D52" i="8"/>
  <c r="D55" i="8"/>
  <c r="D58" i="8"/>
  <c r="D61" i="8"/>
  <c r="D64" i="8"/>
  <c r="D67" i="8"/>
  <c r="D70" i="8"/>
  <c r="D73" i="8"/>
  <c r="D76" i="8"/>
  <c r="D79" i="8"/>
  <c r="D82" i="8"/>
  <c r="D85" i="8"/>
  <c r="D88" i="8"/>
  <c r="D91" i="8"/>
  <c r="D94" i="8"/>
  <c r="D97" i="8"/>
  <c r="D100" i="8"/>
  <c r="D103" i="8"/>
  <c r="D106" i="8"/>
  <c r="D109" i="8"/>
  <c r="D112" i="8"/>
  <c r="D115" i="8"/>
  <c r="D118" i="8"/>
  <c r="D121" i="8"/>
  <c r="D124" i="8"/>
  <c r="D127" i="8"/>
  <c r="D130" i="8"/>
  <c r="D133" i="8"/>
  <c r="D136" i="8"/>
  <c r="D139" i="8"/>
  <c r="D142" i="8"/>
  <c r="D145" i="8"/>
  <c r="D148" i="8"/>
  <c r="E43" i="6"/>
  <c r="E61" i="6"/>
  <c r="E133" i="6" s="1"/>
  <c r="E30" i="3"/>
  <c r="E39" i="3"/>
  <c r="E42" i="3"/>
  <c r="E48" i="3"/>
  <c r="E4" i="7"/>
  <c r="E7" i="7"/>
  <c r="E10" i="7"/>
  <c r="E13" i="7"/>
  <c r="E16" i="7"/>
  <c r="E19" i="7"/>
  <c r="E22" i="7"/>
  <c r="E25" i="7"/>
  <c r="E28" i="7"/>
  <c r="E31" i="7"/>
  <c r="E34" i="7"/>
  <c r="E37" i="7"/>
  <c r="E40" i="7"/>
  <c r="E43" i="7"/>
  <c r="E46" i="7"/>
  <c r="E49" i="7"/>
  <c r="E52" i="7"/>
  <c r="E55" i="7"/>
  <c r="E58" i="7"/>
  <c r="E61" i="7"/>
  <c r="E64" i="7"/>
  <c r="E67" i="7"/>
  <c r="E70" i="7"/>
  <c r="E73" i="7"/>
  <c r="E76" i="7"/>
  <c r="E79" i="7"/>
  <c r="E4" i="8"/>
  <c r="E7" i="8"/>
  <c r="E10" i="8"/>
  <c r="E13" i="8"/>
  <c r="E16" i="8"/>
  <c r="E19" i="8"/>
  <c r="E22" i="8"/>
  <c r="E31" i="8"/>
  <c r="E37" i="8"/>
  <c r="E40" i="8"/>
  <c r="E43" i="8"/>
  <c r="E49" i="8"/>
  <c r="E52" i="8"/>
  <c r="E55" i="8"/>
  <c r="E58" i="8"/>
  <c r="E61" i="8"/>
  <c r="E64" i="8"/>
  <c r="E67" i="8"/>
  <c r="E70" i="8"/>
  <c r="E73" i="8"/>
  <c r="E76" i="8"/>
  <c r="E79" i="8"/>
  <c r="E82" i="8"/>
  <c r="E85" i="8"/>
  <c r="E88" i="8"/>
  <c r="E91" i="8"/>
  <c r="E94" i="8"/>
  <c r="E97" i="8"/>
  <c r="E100" i="8"/>
  <c r="E103" i="8"/>
  <c r="E106" i="8"/>
  <c r="E109" i="8"/>
  <c r="E112" i="8"/>
  <c r="E115" i="8"/>
  <c r="E118" i="8"/>
  <c r="E121" i="8"/>
  <c r="E124" i="8"/>
  <c r="E127" i="8"/>
  <c r="E130" i="8"/>
  <c r="E133" i="8"/>
  <c r="E136" i="8"/>
  <c r="E139" i="8"/>
  <c r="E142" i="8"/>
  <c r="E145" i="8"/>
  <c r="E148" i="8"/>
  <c r="F43" i="6"/>
  <c r="F115" i="6" s="1"/>
  <c r="F61" i="6"/>
  <c r="F64" i="6"/>
  <c r="F136" i="6" s="1"/>
  <c r="F30" i="3"/>
  <c r="F39" i="3"/>
  <c r="F42" i="3"/>
  <c r="F48" i="3"/>
  <c r="F4" i="7"/>
  <c r="F7" i="7"/>
  <c r="F10" i="7"/>
  <c r="F13" i="7"/>
  <c r="F16" i="7"/>
  <c r="F19" i="7"/>
  <c r="F22" i="7"/>
  <c r="F25" i="7"/>
  <c r="F28" i="7"/>
  <c r="F31" i="7"/>
  <c r="F34" i="7"/>
  <c r="F37" i="7"/>
  <c r="F40" i="7"/>
  <c r="F43" i="7"/>
  <c r="F46" i="7"/>
  <c r="F49" i="7"/>
  <c r="F52" i="7"/>
  <c r="F55" i="7"/>
  <c r="F58" i="7"/>
  <c r="F61" i="7"/>
  <c r="F64" i="7"/>
  <c r="F67" i="7"/>
  <c r="F70" i="7"/>
  <c r="F73" i="7"/>
  <c r="F76" i="7"/>
  <c r="F79" i="7"/>
  <c r="F4" i="8"/>
  <c r="F7" i="8"/>
  <c r="F10" i="8"/>
  <c r="F13" i="8"/>
  <c r="F16" i="8"/>
  <c r="F19" i="8"/>
  <c r="F22" i="8"/>
  <c r="F31" i="8"/>
  <c r="E22" i="12" s="1"/>
  <c r="F37" i="8"/>
  <c r="F40" i="8"/>
  <c r="F43" i="8"/>
  <c r="F49" i="8"/>
  <c r="F52" i="8"/>
  <c r="F55" i="8"/>
  <c r="F58" i="8"/>
  <c r="F61" i="8"/>
  <c r="F64" i="8"/>
  <c r="F67" i="8"/>
  <c r="F70" i="8"/>
  <c r="F73" i="8"/>
  <c r="F76" i="8"/>
  <c r="F79" i="8"/>
  <c r="F82" i="8"/>
  <c r="F85" i="8"/>
  <c r="F88" i="8"/>
  <c r="F91" i="8"/>
  <c r="F94" i="8"/>
  <c r="F97" i="8"/>
  <c r="F100" i="8"/>
  <c r="F103" i="8"/>
  <c r="F106" i="8"/>
  <c r="F109" i="8"/>
  <c r="F112" i="8"/>
  <c r="F115" i="8"/>
  <c r="F118" i="8"/>
  <c r="F121" i="8"/>
  <c r="F124" i="8"/>
  <c r="F127" i="8"/>
  <c r="F130" i="8"/>
  <c r="F133" i="8"/>
  <c r="F136" i="8"/>
  <c r="F139" i="8"/>
  <c r="F142" i="8"/>
  <c r="F145" i="8"/>
  <c r="F148" i="8"/>
  <c r="G43" i="6"/>
  <c r="G115" i="6" s="1"/>
  <c r="G61" i="6"/>
  <c r="G133" i="6" s="1"/>
  <c r="G30" i="3"/>
  <c r="G39" i="3"/>
  <c r="G42" i="3"/>
  <c r="G48" i="3"/>
  <c r="G4" i="7"/>
  <c r="G7" i="7"/>
  <c r="G10" i="7"/>
  <c r="G13" i="7"/>
  <c r="G16" i="7"/>
  <c r="G19" i="7"/>
  <c r="G22" i="7"/>
  <c r="G25" i="7"/>
  <c r="G28" i="7"/>
  <c r="G31" i="7"/>
  <c r="G34" i="7"/>
  <c r="G37" i="7"/>
  <c r="G40" i="7"/>
  <c r="G43" i="7"/>
  <c r="G46" i="7"/>
  <c r="G49" i="7"/>
  <c r="G52" i="7"/>
  <c r="G55" i="7"/>
  <c r="G58" i="7"/>
  <c r="G61" i="7"/>
  <c r="G64" i="7"/>
  <c r="G67" i="7"/>
  <c r="G70" i="7"/>
  <c r="G73" i="7"/>
  <c r="G76" i="7"/>
  <c r="G79" i="7"/>
  <c r="G4" i="8"/>
  <c r="G7" i="8"/>
  <c r="G10" i="8"/>
  <c r="G13" i="8"/>
  <c r="G16" i="8"/>
  <c r="G19" i="8"/>
  <c r="G22" i="8"/>
  <c r="G31" i="8"/>
  <c r="G37" i="8"/>
  <c r="G40" i="8"/>
  <c r="G43" i="8"/>
  <c r="G49" i="8"/>
  <c r="G52" i="8"/>
  <c r="G55" i="8"/>
  <c r="G58" i="8"/>
  <c r="G61" i="8"/>
  <c r="G64" i="8"/>
  <c r="G67" i="8"/>
  <c r="G70" i="8"/>
  <c r="G73" i="8"/>
  <c r="G76" i="8"/>
  <c r="G79" i="8"/>
  <c r="G82" i="8"/>
  <c r="G85" i="8"/>
  <c r="G88" i="8"/>
  <c r="G91" i="8"/>
  <c r="G94" i="8"/>
  <c r="G97" i="8"/>
  <c r="G100" i="8"/>
  <c r="G103" i="8"/>
  <c r="G106" i="8"/>
  <c r="G109" i="8"/>
  <c r="G112" i="8"/>
  <c r="G115" i="8"/>
  <c r="G118" i="8"/>
  <c r="G121" i="8"/>
  <c r="G124" i="8"/>
  <c r="G127" i="8"/>
  <c r="G130" i="8"/>
  <c r="G133" i="8"/>
  <c r="G136" i="8"/>
  <c r="G139" i="8"/>
  <c r="G142" i="8"/>
  <c r="G145" i="8"/>
  <c r="G148" i="8"/>
  <c r="H43" i="6"/>
  <c r="H115" i="6" s="1"/>
  <c r="H61" i="6"/>
  <c r="H133" i="6" s="1"/>
  <c r="H30" i="3"/>
  <c r="H39" i="3"/>
  <c r="H42" i="3"/>
  <c r="H48" i="3"/>
  <c r="H4" i="7"/>
  <c r="H7" i="7"/>
  <c r="H10" i="7"/>
  <c r="H13" i="7"/>
  <c r="H16" i="7"/>
  <c r="H19" i="7"/>
  <c r="H22" i="7"/>
  <c r="H25" i="7"/>
  <c r="H28" i="7"/>
  <c r="H31" i="7"/>
  <c r="H34" i="7"/>
  <c r="H37" i="7"/>
  <c r="H40" i="7"/>
  <c r="H43" i="7"/>
  <c r="H46" i="7"/>
  <c r="H49" i="7"/>
  <c r="H52" i="7"/>
  <c r="H55" i="7"/>
  <c r="H58" i="7"/>
  <c r="H61" i="7"/>
  <c r="H64" i="7"/>
  <c r="H67" i="7"/>
  <c r="H70" i="7"/>
  <c r="H73" i="7"/>
  <c r="H76" i="7"/>
  <c r="H79" i="7"/>
  <c r="H4" i="8"/>
  <c r="H7" i="8"/>
  <c r="H10" i="8"/>
  <c r="H13" i="8"/>
  <c r="H16" i="8"/>
  <c r="H19" i="8"/>
  <c r="H22" i="8"/>
  <c r="H31" i="8"/>
  <c r="H37" i="8"/>
  <c r="H40" i="8"/>
  <c r="H43" i="8"/>
  <c r="H49" i="8"/>
  <c r="H52" i="8"/>
  <c r="H55" i="8"/>
  <c r="H58" i="8"/>
  <c r="H61" i="8"/>
  <c r="H64" i="8"/>
  <c r="H67" i="8"/>
  <c r="H70" i="8"/>
  <c r="H73" i="8"/>
  <c r="H76" i="8"/>
  <c r="H79" i="8"/>
  <c r="H82" i="8"/>
  <c r="H85" i="8"/>
  <c r="H88" i="8"/>
  <c r="H91" i="8"/>
  <c r="H94" i="8"/>
  <c r="H97" i="8"/>
  <c r="H100" i="8"/>
  <c r="H103" i="8"/>
  <c r="H106" i="8"/>
  <c r="H109" i="8"/>
  <c r="H112" i="8"/>
  <c r="H115" i="8"/>
  <c r="H118" i="8"/>
  <c r="H121" i="8"/>
  <c r="H124" i="8"/>
  <c r="H127" i="8"/>
  <c r="H130" i="8"/>
  <c r="H133" i="8"/>
  <c r="H136" i="8"/>
  <c r="H139" i="8"/>
  <c r="H142" i="8"/>
  <c r="H145" i="8"/>
  <c r="H148" i="8"/>
  <c r="I43" i="6"/>
  <c r="I115" i="6" s="1"/>
  <c r="I61" i="6"/>
  <c r="I30" i="3"/>
  <c r="I39" i="3"/>
  <c r="I42" i="3"/>
  <c r="I48" i="3"/>
  <c r="I4" i="7"/>
  <c r="I7" i="7"/>
  <c r="I10" i="7"/>
  <c r="I13" i="7"/>
  <c r="I16" i="7"/>
  <c r="I19" i="7"/>
  <c r="I22" i="7"/>
  <c r="I25" i="7"/>
  <c r="I28" i="7"/>
  <c r="I31" i="7"/>
  <c r="I34" i="7"/>
  <c r="I37" i="7"/>
  <c r="I40" i="7"/>
  <c r="I43" i="7"/>
  <c r="I46" i="7"/>
  <c r="I49" i="7"/>
  <c r="I52" i="7"/>
  <c r="I55" i="7"/>
  <c r="I58" i="7"/>
  <c r="I61" i="7"/>
  <c r="I64" i="7"/>
  <c r="I67" i="7"/>
  <c r="I70" i="7"/>
  <c r="I73" i="7"/>
  <c r="I76" i="7"/>
  <c r="I79" i="7"/>
  <c r="I4" i="8"/>
  <c r="I7" i="8"/>
  <c r="I10" i="8"/>
  <c r="I13" i="8"/>
  <c r="I16" i="8"/>
  <c r="I19" i="8"/>
  <c r="I22" i="8"/>
  <c r="I31" i="8"/>
  <c r="I37" i="8"/>
  <c r="I40" i="8"/>
  <c r="I43" i="8"/>
  <c r="I49" i="8"/>
  <c r="I52" i="8"/>
  <c r="I55" i="8"/>
  <c r="I58" i="8"/>
  <c r="I61" i="8"/>
  <c r="I64" i="8"/>
  <c r="I67" i="8"/>
  <c r="I70" i="8"/>
  <c r="I73" i="8"/>
  <c r="I76" i="8"/>
  <c r="I79" i="8"/>
  <c r="I82" i="8"/>
  <c r="I85" i="8"/>
  <c r="I88" i="8"/>
  <c r="I91" i="8"/>
  <c r="I94" i="8"/>
  <c r="I97" i="8"/>
  <c r="I100" i="8"/>
  <c r="I103" i="8"/>
  <c r="I106" i="8"/>
  <c r="I109" i="8"/>
  <c r="I112" i="8"/>
  <c r="I115" i="8"/>
  <c r="I118" i="8"/>
  <c r="I121" i="8"/>
  <c r="I124" i="8"/>
  <c r="I127" i="8"/>
  <c r="I130" i="8"/>
  <c r="I133" i="8"/>
  <c r="I136" i="8"/>
  <c r="I139" i="8"/>
  <c r="I142" i="8"/>
  <c r="I145" i="8"/>
  <c r="I148" i="8"/>
  <c r="J43" i="6"/>
  <c r="J115" i="6" s="1"/>
  <c r="J61" i="6"/>
  <c r="J133" i="6" s="1"/>
  <c r="J30" i="3"/>
  <c r="J39" i="3"/>
  <c r="J42" i="3"/>
  <c r="J48" i="3"/>
  <c r="J4" i="7"/>
  <c r="J7" i="7"/>
  <c r="J10" i="7"/>
  <c r="J13" i="7"/>
  <c r="J16" i="7"/>
  <c r="J19" i="7"/>
  <c r="J22" i="7"/>
  <c r="J25" i="7"/>
  <c r="J28" i="7"/>
  <c r="J31" i="7"/>
  <c r="J34" i="7"/>
  <c r="J37" i="7"/>
  <c r="J40" i="7"/>
  <c r="J43" i="7"/>
  <c r="J46" i="7"/>
  <c r="J49" i="7"/>
  <c r="J52" i="7"/>
  <c r="J55" i="7"/>
  <c r="J58" i="7"/>
  <c r="J61" i="7"/>
  <c r="J64" i="7"/>
  <c r="J67" i="7"/>
  <c r="J70" i="7"/>
  <c r="J73" i="7"/>
  <c r="J76" i="7"/>
  <c r="J79" i="7"/>
  <c r="J4" i="8"/>
  <c r="J7" i="8"/>
  <c r="J10" i="8"/>
  <c r="J13" i="8"/>
  <c r="J16" i="8"/>
  <c r="J19" i="8"/>
  <c r="J22" i="8"/>
  <c r="J31" i="8"/>
  <c r="J37" i="8"/>
  <c r="J40" i="8"/>
  <c r="J43" i="8"/>
  <c r="J49" i="8"/>
  <c r="J52" i="8"/>
  <c r="J55" i="8"/>
  <c r="J58" i="8"/>
  <c r="J61" i="8"/>
  <c r="J64" i="8"/>
  <c r="J67" i="8"/>
  <c r="J70" i="8"/>
  <c r="J73" i="8"/>
  <c r="J76" i="8"/>
  <c r="J79" i="8"/>
  <c r="J82" i="8"/>
  <c r="J85" i="8"/>
  <c r="J88" i="8"/>
  <c r="J91" i="8"/>
  <c r="J94" i="8"/>
  <c r="J97" i="8"/>
  <c r="J100" i="8"/>
  <c r="J103" i="8"/>
  <c r="J106" i="8"/>
  <c r="J109" i="8"/>
  <c r="J112" i="8"/>
  <c r="J115" i="8"/>
  <c r="J118" i="8"/>
  <c r="J121" i="8"/>
  <c r="J124" i="8"/>
  <c r="J127" i="8"/>
  <c r="J130" i="8"/>
  <c r="J133" i="8"/>
  <c r="J136" i="8"/>
  <c r="J139" i="8"/>
  <c r="J142" i="8"/>
  <c r="J145" i="8"/>
  <c r="J148" i="8"/>
  <c r="K43" i="6"/>
  <c r="K115" i="6" s="1"/>
  <c r="K61" i="6"/>
  <c r="K133" i="6" s="1"/>
  <c r="K30" i="3"/>
  <c r="K39" i="3"/>
  <c r="K42" i="3"/>
  <c r="K48" i="3"/>
  <c r="K4" i="7"/>
  <c r="K7" i="7"/>
  <c r="K10" i="7"/>
  <c r="K13" i="7"/>
  <c r="K16" i="7"/>
  <c r="K19" i="7"/>
  <c r="K22" i="7"/>
  <c r="K25" i="7"/>
  <c r="K28" i="7"/>
  <c r="K31" i="7"/>
  <c r="K34" i="7"/>
  <c r="K37" i="7"/>
  <c r="K40" i="7"/>
  <c r="K43" i="7"/>
  <c r="K46" i="7"/>
  <c r="K49" i="7"/>
  <c r="K52" i="7"/>
  <c r="K55" i="7"/>
  <c r="K58" i="7"/>
  <c r="K61" i="7"/>
  <c r="K64" i="7"/>
  <c r="K67" i="7"/>
  <c r="K70" i="7"/>
  <c r="K73" i="7"/>
  <c r="K76" i="7"/>
  <c r="K79" i="7"/>
  <c r="K4" i="8"/>
  <c r="K7" i="8"/>
  <c r="K10" i="8"/>
  <c r="K13" i="8"/>
  <c r="K16" i="8"/>
  <c r="K19" i="8"/>
  <c r="K22" i="8"/>
  <c r="K31" i="8"/>
  <c r="J5" i="14" s="1"/>
  <c r="K37" i="8"/>
  <c r="K40" i="8"/>
  <c r="K43" i="8"/>
  <c r="K49" i="8"/>
  <c r="K52" i="8"/>
  <c r="K55" i="8"/>
  <c r="K58" i="8"/>
  <c r="K61" i="8"/>
  <c r="K64" i="8"/>
  <c r="K67" i="8"/>
  <c r="K70" i="8"/>
  <c r="K73" i="8"/>
  <c r="K76" i="8"/>
  <c r="K79" i="8"/>
  <c r="K82" i="8"/>
  <c r="K85" i="8"/>
  <c r="K88" i="8"/>
  <c r="K91" i="8"/>
  <c r="K94" i="8"/>
  <c r="K97" i="8"/>
  <c r="K100" i="8"/>
  <c r="K103" i="8"/>
  <c r="K106" i="8"/>
  <c r="K109" i="8"/>
  <c r="K112" i="8"/>
  <c r="K115" i="8"/>
  <c r="K118" i="8"/>
  <c r="K121" i="8"/>
  <c r="K124" i="8"/>
  <c r="K127" i="8"/>
  <c r="K130" i="8"/>
  <c r="K133" i="8"/>
  <c r="K136" i="8"/>
  <c r="K139" i="8"/>
  <c r="K142" i="8"/>
  <c r="K145" i="8"/>
  <c r="K148" i="8"/>
  <c r="L43" i="6"/>
  <c r="L115" i="6" s="1"/>
  <c r="L61" i="6"/>
  <c r="L30" i="3"/>
  <c r="L39" i="3"/>
  <c r="L42" i="3"/>
  <c r="L48" i="3"/>
  <c r="L4" i="7"/>
  <c r="L7" i="7"/>
  <c r="L10" i="7"/>
  <c r="L13" i="7"/>
  <c r="L16" i="7"/>
  <c r="L19" i="7"/>
  <c r="L22" i="7"/>
  <c r="L25" i="7"/>
  <c r="L28" i="7"/>
  <c r="L31" i="7"/>
  <c r="L34" i="7"/>
  <c r="L37" i="7"/>
  <c r="L40" i="7"/>
  <c r="L43" i="7"/>
  <c r="L46" i="7"/>
  <c r="L49" i="7"/>
  <c r="L52" i="7"/>
  <c r="L55" i="7"/>
  <c r="L58" i="7"/>
  <c r="L61" i="7"/>
  <c r="L64" i="7"/>
  <c r="L67" i="7"/>
  <c r="L70" i="7"/>
  <c r="L73" i="7"/>
  <c r="L76" i="7"/>
  <c r="L79" i="7"/>
  <c r="L4" i="8"/>
  <c r="L7" i="8"/>
  <c r="L10" i="8"/>
  <c r="L13" i="8"/>
  <c r="L16" i="8"/>
  <c r="L19" i="8"/>
  <c r="L22" i="8"/>
  <c r="L31" i="8"/>
  <c r="K22" i="12" s="1"/>
  <c r="L37" i="8"/>
  <c r="L40" i="8"/>
  <c r="L43" i="8"/>
  <c r="L49" i="8"/>
  <c r="L52" i="8"/>
  <c r="L55" i="8"/>
  <c r="L58" i="8"/>
  <c r="L61" i="8"/>
  <c r="L64" i="8"/>
  <c r="L67" i="8"/>
  <c r="L70" i="8"/>
  <c r="L73" i="8"/>
  <c r="L76" i="8"/>
  <c r="L79" i="8"/>
  <c r="L82" i="8"/>
  <c r="L85" i="8"/>
  <c r="L88" i="8"/>
  <c r="L91" i="8"/>
  <c r="L94" i="8"/>
  <c r="L97" i="8"/>
  <c r="L100" i="8"/>
  <c r="L103" i="8"/>
  <c r="L106" i="8"/>
  <c r="L109" i="8"/>
  <c r="L112" i="8"/>
  <c r="L115" i="8"/>
  <c r="L118" i="8"/>
  <c r="L121" i="8"/>
  <c r="L124" i="8"/>
  <c r="L127" i="8"/>
  <c r="L130" i="8"/>
  <c r="L133" i="8"/>
  <c r="L136" i="8"/>
  <c r="L139" i="8"/>
  <c r="L142" i="8"/>
  <c r="L145" i="8"/>
  <c r="L148" i="8"/>
  <c r="M43" i="6"/>
  <c r="M115" i="6" s="1"/>
  <c r="M61" i="6"/>
  <c r="M133" i="6" s="1"/>
  <c r="M30" i="3"/>
  <c r="M39" i="3"/>
  <c r="M42" i="3"/>
  <c r="M48" i="3"/>
  <c r="M4" i="7"/>
  <c r="M7" i="7"/>
  <c r="M10" i="7"/>
  <c r="M13" i="7"/>
  <c r="M16" i="7"/>
  <c r="M19" i="7"/>
  <c r="M22" i="7"/>
  <c r="M25" i="7"/>
  <c r="M28" i="7"/>
  <c r="M31" i="7"/>
  <c r="M34" i="7"/>
  <c r="M37" i="7"/>
  <c r="M40" i="7"/>
  <c r="M43" i="7"/>
  <c r="M46" i="7"/>
  <c r="M49" i="7"/>
  <c r="M52" i="7"/>
  <c r="M55" i="7"/>
  <c r="M58" i="7"/>
  <c r="M61" i="7"/>
  <c r="M64" i="7"/>
  <c r="M67" i="7"/>
  <c r="M70" i="7"/>
  <c r="M73" i="7"/>
  <c r="M76" i="7"/>
  <c r="M79" i="7"/>
  <c r="M4" i="8"/>
  <c r="M7" i="8"/>
  <c r="M10" i="8"/>
  <c r="M13" i="8"/>
  <c r="M16" i="8"/>
  <c r="M19" i="8"/>
  <c r="M22" i="8"/>
  <c r="M31" i="8"/>
  <c r="L22" i="12" s="1"/>
  <c r="M37" i="8"/>
  <c r="M40" i="8"/>
  <c r="M43" i="8"/>
  <c r="M49" i="8"/>
  <c r="M52" i="8"/>
  <c r="M55" i="8"/>
  <c r="M58" i="8"/>
  <c r="M61" i="8"/>
  <c r="M64" i="8"/>
  <c r="M67" i="8"/>
  <c r="M70" i="8"/>
  <c r="M73" i="8"/>
  <c r="M76" i="8"/>
  <c r="M79" i="8"/>
  <c r="M82" i="8"/>
  <c r="M85" i="8"/>
  <c r="M88" i="8"/>
  <c r="M91" i="8"/>
  <c r="M94" i="8"/>
  <c r="M97" i="8"/>
  <c r="M100" i="8"/>
  <c r="M103" i="8"/>
  <c r="M106" i="8"/>
  <c r="M109" i="8"/>
  <c r="M112" i="8"/>
  <c r="M115" i="8"/>
  <c r="M118" i="8"/>
  <c r="M121" i="8"/>
  <c r="M124" i="8"/>
  <c r="M127" i="8"/>
  <c r="M130" i="8"/>
  <c r="M133" i="8"/>
  <c r="M136" i="8"/>
  <c r="M139" i="8"/>
  <c r="M142" i="8"/>
  <c r="M145" i="8"/>
  <c r="M148" i="8"/>
  <c r="D126" i="2"/>
  <c r="N90" i="4"/>
  <c r="N87" i="7" s="1"/>
  <c r="C89" i="4"/>
  <c r="D89" i="4"/>
  <c r="F89" i="4"/>
  <c r="H89" i="4"/>
  <c r="J89" i="4"/>
  <c r="L89" i="4"/>
  <c r="N86" i="4"/>
  <c r="N79" i="7" s="1"/>
  <c r="N83" i="4"/>
  <c r="N76" i="7" s="1"/>
  <c r="N80" i="4"/>
  <c r="N73" i="7" s="1"/>
  <c r="N77" i="4"/>
  <c r="N70" i="7"/>
  <c r="N74" i="4"/>
  <c r="N71" i="4"/>
  <c r="N68" i="4"/>
  <c r="N61" i="7" s="1"/>
  <c r="N65" i="4"/>
  <c r="O65" i="4" s="1"/>
  <c r="N62" i="4"/>
  <c r="N55" i="7" s="1"/>
  <c r="N59" i="4"/>
  <c r="O59" i="4" s="1"/>
  <c r="N56" i="4"/>
  <c r="N53" i="4"/>
  <c r="N46" i="7"/>
  <c r="N50" i="4"/>
  <c r="N43" i="7" s="1"/>
  <c r="N47" i="4"/>
  <c r="N40" i="7" s="1"/>
  <c r="N44" i="4"/>
  <c r="N37" i="7" s="1"/>
  <c r="N41" i="4"/>
  <c r="O41" i="4" s="1"/>
  <c r="N38" i="4"/>
  <c r="N31" i="7" s="1"/>
  <c r="N35" i="4"/>
  <c r="N28" i="7" s="1"/>
  <c r="N32" i="4"/>
  <c r="N25" i="7" s="1"/>
  <c r="N29" i="4"/>
  <c r="N22" i="7"/>
  <c r="N26" i="4"/>
  <c r="N19" i="7" s="1"/>
  <c r="N23" i="4"/>
  <c r="N16" i="7" s="1"/>
  <c r="N20" i="4"/>
  <c r="N13" i="7" s="1"/>
  <c r="N17" i="4"/>
  <c r="N10" i="7" s="1"/>
  <c r="N14" i="4"/>
  <c r="N7" i="7" s="1"/>
  <c r="N11" i="4"/>
  <c r="N4" i="7" s="1"/>
  <c r="N45" i="12"/>
  <c r="O15" i="13"/>
  <c r="O13" i="13"/>
  <c r="N42" i="12"/>
  <c r="O11" i="13"/>
  <c r="O10" i="13"/>
  <c r="O8" i="13"/>
  <c r="F120" i="2"/>
  <c r="P149" i="8"/>
  <c r="B120" i="2"/>
  <c r="G15" i="1" s="1"/>
  <c r="I15" i="1" s="1"/>
  <c r="P148" i="8"/>
  <c r="P145" i="8"/>
  <c r="P142" i="8"/>
  <c r="P139" i="8"/>
  <c r="P136" i="8"/>
  <c r="P133" i="8"/>
  <c r="P130" i="8"/>
  <c r="P127" i="8"/>
  <c r="P124" i="8"/>
  <c r="P121" i="8"/>
  <c r="P118" i="8"/>
  <c r="P115" i="8"/>
  <c r="P112" i="8"/>
  <c r="P109" i="8"/>
  <c r="P106" i="8"/>
  <c r="P103" i="8"/>
  <c r="P100" i="8"/>
  <c r="P97" i="8"/>
  <c r="P94" i="8"/>
  <c r="P91" i="8"/>
  <c r="P88" i="8"/>
  <c r="P85" i="8"/>
  <c r="P82" i="8"/>
  <c r="P79" i="8"/>
  <c r="P76" i="8"/>
  <c r="P73" i="8"/>
  <c r="P70" i="8"/>
  <c r="P67" i="8"/>
  <c r="P64" i="8"/>
  <c r="P61" i="8"/>
  <c r="P58" i="8"/>
  <c r="P55" i="8"/>
  <c r="P52" i="8"/>
  <c r="P49" i="8"/>
  <c r="P46" i="8"/>
  <c r="P43" i="8"/>
  <c r="P40" i="8"/>
  <c r="P37" i="8"/>
  <c r="P34" i="8"/>
  <c r="P31" i="8"/>
  <c r="P29" i="8"/>
  <c r="P22" i="8"/>
  <c r="P19" i="8"/>
  <c r="P16" i="8"/>
  <c r="P13" i="8"/>
  <c r="P10" i="8"/>
  <c r="P7" i="8"/>
  <c r="P1" i="8"/>
  <c r="P4" i="8"/>
  <c r="O26" i="8"/>
  <c r="C23" i="8"/>
  <c r="C56" i="8"/>
  <c r="C59" i="8"/>
  <c r="C80" i="8"/>
  <c r="C83" i="8"/>
  <c r="C98" i="8"/>
  <c r="C107" i="8"/>
  <c r="C119" i="8"/>
  <c r="C128" i="8"/>
  <c r="C131" i="8"/>
  <c r="N155" i="5"/>
  <c r="N148" i="8" s="1"/>
  <c r="N152" i="5"/>
  <c r="N145" i="8"/>
  <c r="N149" i="5"/>
  <c r="O149" i="5" s="1"/>
  <c r="N146" i="5"/>
  <c r="N139" i="8" s="1"/>
  <c r="N143" i="5"/>
  <c r="N136" i="8" s="1"/>
  <c r="N140" i="5"/>
  <c r="N133" i="8" s="1"/>
  <c r="N137" i="5"/>
  <c r="O137" i="5" s="1"/>
  <c r="N134" i="5"/>
  <c r="N131" i="5"/>
  <c r="N124" i="8"/>
  <c r="N128" i="5"/>
  <c r="N121" i="8" s="1"/>
  <c r="N125" i="5"/>
  <c r="N118" i="8" s="1"/>
  <c r="N122" i="5"/>
  <c r="N119" i="5"/>
  <c r="N112" i="8" s="1"/>
  <c r="N116" i="5"/>
  <c r="N109" i="8" s="1"/>
  <c r="N113" i="5"/>
  <c r="N106" i="8"/>
  <c r="N110" i="5"/>
  <c r="N103" i="8" s="1"/>
  <c r="N107" i="5"/>
  <c r="N100" i="8" s="1"/>
  <c r="N104" i="5"/>
  <c r="N97" i="8" s="1"/>
  <c r="N101" i="5"/>
  <c r="N94" i="8" s="1"/>
  <c r="N98" i="5"/>
  <c r="N91" i="8" s="1"/>
  <c r="N95" i="5"/>
  <c r="N88" i="8" s="1"/>
  <c r="N92" i="5"/>
  <c r="N85" i="8" s="1"/>
  <c r="N89" i="5"/>
  <c r="O89" i="5" s="1"/>
  <c r="N86" i="5"/>
  <c r="N79" i="8" s="1"/>
  <c r="N83" i="5"/>
  <c r="N76" i="8"/>
  <c r="N80" i="5"/>
  <c r="O80" i="5" s="1"/>
  <c r="N73" i="8"/>
  <c r="N77" i="5"/>
  <c r="N70" i="8"/>
  <c r="N74" i="5"/>
  <c r="N67" i="8" s="1"/>
  <c r="N71" i="5"/>
  <c r="N64" i="8" s="1"/>
  <c r="N68" i="5"/>
  <c r="O68" i="5" s="1"/>
  <c r="N65" i="5"/>
  <c r="N62" i="5"/>
  <c r="N55" i="8" s="1"/>
  <c r="N59" i="5"/>
  <c r="N52" i="8" s="1"/>
  <c r="N56" i="5"/>
  <c r="N49" i="8"/>
  <c r="N53" i="5"/>
  <c r="N50" i="5"/>
  <c r="N43" i="8" s="1"/>
  <c r="N47" i="5"/>
  <c r="O47" i="5" s="1"/>
  <c r="N44" i="5"/>
  <c r="N37" i="8" s="1"/>
  <c r="N41" i="5"/>
  <c r="N34" i="8" s="1"/>
  <c r="N38" i="5"/>
  <c r="O38" i="5" s="1"/>
  <c r="N31" i="8"/>
  <c r="N29" i="5"/>
  <c r="N22" i="8"/>
  <c r="N26" i="5"/>
  <c r="N19" i="8" s="1"/>
  <c r="N23" i="5"/>
  <c r="N16" i="8" s="1"/>
  <c r="N20" i="5"/>
  <c r="N13" i="8" s="1"/>
  <c r="N17" i="5"/>
  <c r="O17" i="5" s="1"/>
  <c r="N10" i="8"/>
  <c r="N14" i="5"/>
  <c r="N7" i="8" s="1"/>
  <c r="N11" i="5"/>
  <c r="N4" i="8" s="1"/>
  <c r="N72" i="3"/>
  <c r="O72" i="3" s="1"/>
  <c r="N68" i="3"/>
  <c r="N65" i="3"/>
  <c r="N61" i="6" s="1"/>
  <c r="N133" i="6" s="1"/>
  <c r="N62" i="3"/>
  <c r="O62" i="3" s="1"/>
  <c r="N59" i="3"/>
  <c r="O59" i="3" s="1"/>
  <c r="N56" i="3"/>
  <c r="N53" i="3"/>
  <c r="O53" i="3" s="1"/>
  <c r="N50" i="3"/>
  <c r="O50" i="3" s="1"/>
  <c r="N47" i="3"/>
  <c r="N43" i="6" s="1"/>
  <c r="N115" i="6" s="1"/>
  <c r="N44" i="3"/>
  <c r="N41" i="3"/>
  <c r="O41" i="3" s="1"/>
  <c r="N38" i="3"/>
  <c r="O38" i="3" s="1"/>
  <c r="N35" i="3"/>
  <c r="N32" i="3"/>
  <c r="N29" i="3"/>
  <c r="O29" i="3" s="1"/>
  <c r="N23" i="3"/>
  <c r="N20" i="3"/>
  <c r="O20" i="3" s="1"/>
  <c r="N17" i="3"/>
  <c r="O17" i="3" s="1"/>
  <c r="N14" i="3"/>
  <c r="O14" i="3" s="1"/>
  <c r="S11" i="3"/>
  <c r="N46" i="8"/>
  <c r="O27" i="8"/>
  <c r="N27" i="8"/>
  <c r="M27" i="8"/>
  <c r="L27" i="8"/>
  <c r="K27" i="8"/>
  <c r="J27" i="8"/>
  <c r="I27" i="8"/>
  <c r="H27" i="8"/>
  <c r="H159" i="8" s="1"/>
  <c r="G27" i="9" s="1"/>
  <c r="G27" i="8"/>
  <c r="G159" i="8" s="1"/>
  <c r="F27" i="9" s="1"/>
  <c r="F27" i="8"/>
  <c r="E27" i="8"/>
  <c r="D27" i="8"/>
  <c r="O84" i="4"/>
  <c r="O81" i="4"/>
  <c r="G82" i="4" s="1"/>
  <c r="O78" i="4"/>
  <c r="N79" i="4" s="1"/>
  <c r="O75" i="4"/>
  <c r="N75" i="4" s="1"/>
  <c r="O72" i="4"/>
  <c r="C73" i="4" s="1"/>
  <c r="O69" i="4"/>
  <c r="C70" i="4" s="1"/>
  <c r="O66" i="4"/>
  <c r="F67" i="4" s="1"/>
  <c r="O63" i="4"/>
  <c r="H64" i="4" s="1"/>
  <c r="O60" i="4"/>
  <c r="N60" i="4" s="1"/>
  <c r="O57" i="4"/>
  <c r="I58" i="4" s="1"/>
  <c r="O54" i="4"/>
  <c r="O51" i="4"/>
  <c r="O48" i="4"/>
  <c r="O45" i="4"/>
  <c r="O42" i="4"/>
  <c r="N42" i="4" s="1"/>
  <c r="O39" i="4"/>
  <c r="N39" i="4" s="1"/>
  <c r="O36" i="4"/>
  <c r="E37" i="4" s="1"/>
  <c r="O33" i="4"/>
  <c r="O30" i="4"/>
  <c r="N30" i="4" s="1"/>
  <c r="N31" i="4" s="1"/>
  <c r="O27" i="4"/>
  <c r="O24" i="4"/>
  <c r="M25" i="4" s="1"/>
  <c r="O21" i="4"/>
  <c r="O18" i="4"/>
  <c r="N18" i="4" s="1"/>
  <c r="O15" i="4"/>
  <c r="N15" i="4" s="1"/>
  <c r="O12" i="4"/>
  <c r="K13" i="4" s="1"/>
  <c r="O9" i="4"/>
  <c r="J10" i="4" s="1"/>
  <c r="B11" i="14"/>
  <c r="M11" i="14"/>
  <c r="L11" i="14"/>
  <c r="K11" i="14"/>
  <c r="J11" i="14"/>
  <c r="I11" i="14"/>
  <c r="H11" i="14"/>
  <c r="G11" i="14"/>
  <c r="F11" i="14"/>
  <c r="E11" i="14"/>
  <c r="D11" i="14"/>
  <c r="C11" i="14"/>
  <c r="M8" i="14"/>
  <c r="L8" i="14"/>
  <c r="K8" i="14"/>
  <c r="J8" i="14"/>
  <c r="I8" i="14"/>
  <c r="H8" i="14"/>
  <c r="G8" i="14"/>
  <c r="F8" i="14"/>
  <c r="E8" i="14"/>
  <c r="D8" i="14"/>
  <c r="C8" i="14"/>
  <c r="M6" i="14"/>
  <c r="L6" i="14"/>
  <c r="K6" i="14"/>
  <c r="J6" i="14"/>
  <c r="I6" i="14"/>
  <c r="H6" i="14"/>
  <c r="G6" i="14"/>
  <c r="F6" i="14"/>
  <c r="E6" i="14"/>
  <c r="D6" i="14"/>
  <c r="C6" i="14"/>
  <c r="B8" i="14"/>
  <c r="B6" i="14"/>
  <c r="M3" i="14"/>
  <c r="L3" i="14"/>
  <c r="K3" i="14"/>
  <c r="J3" i="14"/>
  <c r="I3" i="14"/>
  <c r="H3" i="14"/>
  <c r="G3" i="14"/>
  <c r="F3" i="14"/>
  <c r="E3" i="14"/>
  <c r="D3" i="14"/>
  <c r="C3" i="14"/>
  <c r="B3" i="14"/>
  <c r="G33" i="12"/>
  <c r="G9" i="14" s="1"/>
  <c r="B48" i="12"/>
  <c r="B54" i="12"/>
  <c r="C54" i="12" s="1"/>
  <c r="D54" i="12" s="1"/>
  <c r="E54" i="12" s="1"/>
  <c r="F54" i="12" s="1"/>
  <c r="G54" i="12" s="1"/>
  <c r="H54" i="12" s="1"/>
  <c r="I54" i="12" s="1"/>
  <c r="J54" i="12" s="1"/>
  <c r="K54" i="12" s="1"/>
  <c r="L54" i="12" s="1"/>
  <c r="M54" i="12" s="1"/>
  <c r="N37" i="12"/>
  <c r="M22" i="13" s="1"/>
  <c r="O25" i="13"/>
  <c r="O26" i="13"/>
  <c r="J15" i="1"/>
  <c r="E119" i="2"/>
  <c r="E118" i="2"/>
  <c r="E117" i="2"/>
  <c r="E116" i="2"/>
  <c r="E115" i="2"/>
  <c r="E114" i="2"/>
  <c r="E113" i="2"/>
  <c r="E112" i="2"/>
  <c r="E111" i="2"/>
  <c r="E110" i="2"/>
  <c r="E109" i="2"/>
  <c r="E108" i="2"/>
  <c r="E107" i="2"/>
  <c r="E106" i="2"/>
  <c r="E105" i="2"/>
  <c r="E104" i="2"/>
  <c r="E103" i="2"/>
  <c r="E102" i="2"/>
  <c r="E101" i="2"/>
  <c r="E100" i="2"/>
  <c r="E99" i="2"/>
  <c r="E98" i="2"/>
  <c r="E97" i="2"/>
  <c r="E96" i="2"/>
  <c r="E95" i="2"/>
  <c r="E94" i="2"/>
  <c r="E93" i="2"/>
  <c r="E92" i="2"/>
  <c r="E91" i="2"/>
  <c r="E90" i="2"/>
  <c r="E89" i="2"/>
  <c r="E88" i="2"/>
  <c r="E87" i="2"/>
  <c r="E84" i="2"/>
  <c r="E83" i="2"/>
  <c r="E82" i="2"/>
  <c r="E81" i="2"/>
  <c r="E80" i="2"/>
  <c r="E77" i="2"/>
  <c r="E76" i="2"/>
  <c r="E75" i="2"/>
  <c r="E74" i="2"/>
  <c r="E73" i="2"/>
  <c r="E72" i="2"/>
  <c r="E71" i="2"/>
  <c r="F16" i="1"/>
  <c r="F23" i="1" s="1"/>
  <c r="E16" i="1"/>
  <c r="E23" i="1" s="1"/>
  <c r="D16" i="1"/>
  <c r="D17" i="1" s="1"/>
  <c r="D18" i="1" s="1"/>
  <c r="C16" i="1"/>
  <c r="C17" i="1" s="1"/>
  <c r="F36" i="1"/>
  <c r="E36" i="1"/>
  <c r="D36" i="1"/>
  <c r="C36" i="1"/>
  <c r="I28" i="1"/>
  <c r="F35" i="1"/>
  <c r="E35" i="1"/>
  <c r="D35" i="1"/>
  <c r="C35" i="1"/>
  <c r="F34" i="1"/>
  <c r="E34" i="1"/>
  <c r="D34" i="1"/>
  <c r="C34" i="1"/>
  <c r="F33" i="1"/>
  <c r="E33" i="1"/>
  <c r="D33" i="1"/>
  <c r="C33" i="1"/>
  <c r="F78" i="2"/>
  <c r="B78" i="2"/>
  <c r="G13" i="1" s="1"/>
  <c r="I13" i="1" s="1"/>
  <c r="B85" i="2"/>
  <c r="G14" i="1" s="1"/>
  <c r="H14" i="1" s="1"/>
  <c r="C62" i="2"/>
  <c r="D15" i="2"/>
  <c r="C64" i="2" s="1"/>
  <c r="C120" i="2" s="1"/>
  <c r="C15" i="2"/>
  <c r="F22" i="1"/>
  <c r="E22" i="1"/>
  <c r="D22" i="1"/>
  <c r="F21" i="1"/>
  <c r="E21" i="1"/>
  <c r="D21" i="1"/>
  <c r="F20" i="1"/>
  <c r="E20" i="1"/>
  <c r="D20" i="1"/>
  <c r="C23" i="1"/>
  <c r="C22" i="1"/>
  <c r="C21" i="1"/>
  <c r="C20" i="1"/>
  <c r="D31" i="2"/>
  <c r="F9" i="2"/>
  <c r="K9" i="2"/>
  <c r="F10" i="2"/>
  <c r="L10" i="2" s="1"/>
  <c r="K10" i="2" s="1"/>
  <c r="M10" i="2" s="1"/>
  <c r="F11" i="2"/>
  <c r="L11" i="2" s="1"/>
  <c r="F12" i="2"/>
  <c r="L12" i="2" s="1"/>
  <c r="I12" i="2"/>
  <c r="F21" i="2"/>
  <c r="L21" i="2" s="1"/>
  <c r="I21" i="2"/>
  <c r="F22" i="2"/>
  <c r="L22" i="2" s="1"/>
  <c r="I22" i="2"/>
  <c r="F17" i="2"/>
  <c r="L17" i="2" s="1"/>
  <c r="I17" i="2"/>
  <c r="F18" i="2"/>
  <c r="L18" i="2" s="1"/>
  <c r="I18" i="2"/>
  <c r="F19" i="2"/>
  <c r="L19" i="2" s="1"/>
  <c r="F20" i="2"/>
  <c r="L20" i="2" s="1"/>
  <c r="G24" i="2"/>
  <c r="M24" i="2"/>
  <c r="G25" i="2"/>
  <c r="O123" i="6" s="1"/>
  <c r="M25" i="2"/>
  <c r="G26" i="2"/>
  <c r="M26" i="2"/>
  <c r="G27" i="2"/>
  <c r="M27" i="2" s="1"/>
  <c r="G28" i="2"/>
  <c r="O126" i="6" s="1"/>
  <c r="C31" i="2"/>
  <c r="O70" i="3" s="1"/>
  <c r="E18" i="2"/>
  <c r="N18" i="2" s="1"/>
  <c r="J18" i="2" s="1"/>
  <c r="E21" i="2"/>
  <c r="N21" i="2" s="1"/>
  <c r="E22" i="2"/>
  <c r="N22" i="2"/>
  <c r="J22" i="2" s="1"/>
  <c r="C40" i="6" s="1"/>
  <c r="E17" i="2"/>
  <c r="N17" i="2" s="1"/>
  <c r="N9" i="2"/>
  <c r="J9" i="2" s="1"/>
  <c r="E10" i="2"/>
  <c r="N10" i="2"/>
  <c r="J10" i="2" s="1"/>
  <c r="G7" i="6" s="1"/>
  <c r="C46" i="8"/>
  <c r="C47" i="8" s="1"/>
  <c r="D46" i="8"/>
  <c r="F46" i="8"/>
  <c r="G46" i="8"/>
  <c r="J46" i="8"/>
  <c r="K46" i="8"/>
  <c r="L46" i="8"/>
  <c r="O32" i="13"/>
  <c r="N39" i="12"/>
  <c r="M24" i="13" s="1"/>
  <c r="O24" i="13" s="1"/>
  <c r="N38" i="12"/>
  <c r="M23" i="13" s="1"/>
  <c r="O23" i="13" s="1"/>
  <c r="G38" i="13"/>
  <c r="G37" i="13"/>
  <c r="G36" i="13"/>
  <c r="B33" i="12"/>
  <c r="B9" i="14" s="1"/>
  <c r="C33" i="12"/>
  <c r="C9" i="14" s="1"/>
  <c r="D33" i="12"/>
  <c r="D9" i="14" s="1"/>
  <c r="E33" i="12"/>
  <c r="E9" i="14" s="1"/>
  <c r="F33" i="12"/>
  <c r="F9" i="14" s="1"/>
  <c r="H33" i="12"/>
  <c r="H9" i="14" s="1"/>
  <c r="I33" i="12"/>
  <c r="I9" i="14" s="1"/>
  <c r="J33" i="12"/>
  <c r="J9" i="14" s="1"/>
  <c r="K33" i="12"/>
  <c r="K9" i="14" s="1"/>
  <c r="L33" i="12"/>
  <c r="L9" i="14" s="1"/>
  <c r="M33" i="12"/>
  <c r="M9" i="14" s="1"/>
  <c r="G30" i="13"/>
  <c r="G19" i="13"/>
  <c r="G18" i="13"/>
  <c r="G17" i="13"/>
  <c r="G16" i="13"/>
  <c r="G15" i="13"/>
  <c r="G14" i="13"/>
  <c r="G13" i="13"/>
  <c r="G12" i="13"/>
  <c r="G11" i="13"/>
  <c r="N34" i="12"/>
  <c r="M9" i="13" s="1"/>
  <c r="N28" i="12"/>
  <c r="N26" i="12"/>
  <c r="N25" i="12"/>
  <c r="E25" i="13" s="1"/>
  <c r="N24" i="12"/>
  <c r="N15" i="12"/>
  <c r="K27" i="13"/>
  <c r="G29" i="1" s="1"/>
  <c r="H29" i="1" s="1"/>
  <c r="C34" i="13"/>
  <c r="G30" i="1" s="1"/>
  <c r="I30" i="1" s="1"/>
  <c r="C27" i="13"/>
  <c r="C22" i="13"/>
  <c r="M6" i="12"/>
  <c r="L6" i="12"/>
  <c r="K6" i="12"/>
  <c r="J6" i="12"/>
  <c r="I6" i="12"/>
  <c r="H6" i="12"/>
  <c r="G6" i="12"/>
  <c r="F6" i="12"/>
  <c r="E6" i="12"/>
  <c r="D6" i="12"/>
  <c r="C6" i="12"/>
  <c r="B6" i="12"/>
  <c r="N4" i="11"/>
  <c r="M3" i="11"/>
  <c r="L3" i="11"/>
  <c r="K3" i="11"/>
  <c r="J3" i="11"/>
  <c r="I3" i="11"/>
  <c r="H3" i="11"/>
  <c r="G3" i="11"/>
  <c r="F3" i="11"/>
  <c r="E3" i="11"/>
  <c r="D3" i="11"/>
  <c r="C3" i="11"/>
  <c r="B3" i="11"/>
  <c r="A16" i="10"/>
  <c r="M7" i="10"/>
  <c r="L7" i="10"/>
  <c r="K7" i="10"/>
  <c r="J7" i="10"/>
  <c r="I7" i="10"/>
  <c r="H7" i="10"/>
  <c r="G7" i="10"/>
  <c r="F7" i="10"/>
  <c r="E7" i="10"/>
  <c r="D7" i="10"/>
  <c r="C7" i="10"/>
  <c r="B7" i="10"/>
  <c r="A37" i="9"/>
  <c r="A36" i="9"/>
  <c r="A35" i="9"/>
  <c r="A34" i="9"/>
  <c r="A33" i="9"/>
  <c r="A32" i="9"/>
  <c r="A28" i="9"/>
  <c r="A27" i="9"/>
  <c r="A26" i="9"/>
  <c r="A25" i="9"/>
  <c r="A24" i="9"/>
  <c r="A23" i="9"/>
  <c r="A19" i="9"/>
  <c r="A18" i="9"/>
  <c r="A17" i="9"/>
  <c r="A16" i="9"/>
  <c r="A15" i="9"/>
  <c r="A14" i="9"/>
  <c r="N142" i="6"/>
  <c r="N146" i="6" s="1"/>
  <c r="M24" i="9" s="1"/>
  <c r="M142" i="6"/>
  <c r="M146" i="6" s="1"/>
  <c r="L24" i="9" s="1"/>
  <c r="L142" i="6"/>
  <c r="L146" i="6" s="1"/>
  <c r="K24" i="9" s="1"/>
  <c r="K142" i="6"/>
  <c r="K146" i="6" s="1"/>
  <c r="J24" i="9" s="1"/>
  <c r="J142" i="6"/>
  <c r="J146" i="6" s="1"/>
  <c r="I24" i="9" s="1"/>
  <c r="I142" i="6"/>
  <c r="I146" i="6" s="1"/>
  <c r="H24" i="9" s="1"/>
  <c r="H142" i="6"/>
  <c r="H146" i="6" s="1"/>
  <c r="G24" i="9" s="1"/>
  <c r="G142" i="6"/>
  <c r="G146" i="6" s="1"/>
  <c r="F24" i="9" s="1"/>
  <c r="F142" i="6"/>
  <c r="F146" i="6" s="1"/>
  <c r="E24" i="9" s="1"/>
  <c r="E142" i="6"/>
  <c r="E146" i="6" s="1"/>
  <c r="D24" i="9" s="1"/>
  <c r="D142" i="6"/>
  <c r="D146" i="6" s="1"/>
  <c r="C24" i="9" s="1"/>
  <c r="C142" i="6"/>
  <c r="C146" i="6" s="1"/>
  <c r="B24" i="9" s="1"/>
  <c r="N159" i="8"/>
  <c r="M27" i="9" s="1"/>
  <c r="M159" i="8"/>
  <c r="L27" i="9" s="1"/>
  <c r="L159" i="8"/>
  <c r="K27" i="9" s="1"/>
  <c r="K159" i="8"/>
  <c r="J27" i="9" s="1"/>
  <c r="J159" i="8"/>
  <c r="I27" i="9" s="1"/>
  <c r="I159" i="8"/>
  <c r="H27" i="9" s="1"/>
  <c r="F159" i="8"/>
  <c r="E27" i="9" s="1"/>
  <c r="E159" i="8"/>
  <c r="D27" i="9" s="1"/>
  <c r="D159" i="8"/>
  <c r="C27" i="9" s="1"/>
  <c r="C27" i="8"/>
  <c r="C159" i="8" s="1"/>
  <c r="B27" i="9" s="1"/>
  <c r="G95" i="2"/>
  <c r="G94" i="2"/>
  <c r="G84" i="2"/>
  <c r="G77" i="2"/>
  <c r="C95" i="2"/>
  <c r="C94" i="2"/>
  <c r="C84" i="2"/>
  <c r="C77" i="2"/>
  <c r="O94" i="6"/>
  <c r="O69" i="6"/>
  <c r="N22" i="6"/>
  <c r="N74" i="6" s="1"/>
  <c r="M23" i="9" s="1"/>
  <c r="M22" i="6"/>
  <c r="M74" i="6" s="1"/>
  <c r="L23" i="9" s="1"/>
  <c r="L22" i="6"/>
  <c r="L74" i="6" s="1"/>
  <c r="K23" i="9" s="1"/>
  <c r="K22" i="6"/>
  <c r="K74" i="6" s="1"/>
  <c r="J23" i="9" s="1"/>
  <c r="J22" i="6"/>
  <c r="J74" i="6" s="1"/>
  <c r="I23" i="9" s="1"/>
  <c r="I22" i="6"/>
  <c r="I74" i="6" s="1"/>
  <c r="H23" i="9" s="1"/>
  <c r="H22" i="6"/>
  <c r="H74" i="6" s="1"/>
  <c r="G23" i="9" s="1"/>
  <c r="G22" i="6"/>
  <c r="G74" i="6" s="1"/>
  <c r="F23" i="9" s="1"/>
  <c r="F22" i="6"/>
  <c r="F74" i="6" s="1"/>
  <c r="E23" i="9" s="1"/>
  <c r="E22" i="6"/>
  <c r="E74" i="6" s="1"/>
  <c r="D23" i="9" s="1"/>
  <c r="D22" i="6"/>
  <c r="D74" i="6" s="1"/>
  <c r="C23" i="9" s="1"/>
  <c r="C22" i="6"/>
  <c r="C74" i="6" s="1"/>
  <c r="B23" i="9" s="1"/>
  <c r="N3" i="9"/>
  <c r="N22" i="9" s="1"/>
  <c r="M3" i="9"/>
  <c r="L3" i="9"/>
  <c r="L13" i="9" s="1"/>
  <c r="K3" i="9"/>
  <c r="J3" i="9"/>
  <c r="J31" i="9" s="1"/>
  <c r="I3" i="9"/>
  <c r="I22" i="9" s="1"/>
  <c r="H3" i="9"/>
  <c r="H13" i="9" s="1"/>
  <c r="G3" i="9"/>
  <c r="G22" i="9" s="1"/>
  <c r="F3" i="9"/>
  <c r="E3" i="9"/>
  <c r="E13" i="9" s="1"/>
  <c r="D3" i="9"/>
  <c r="D22" i="9" s="1"/>
  <c r="C3" i="9"/>
  <c r="B3" i="9"/>
  <c r="B13" i="9" s="1"/>
  <c r="O153" i="5"/>
  <c r="O150" i="5"/>
  <c r="D151" i="5" s="1"/>
  <c r="O155" i="5"/>
  <c r="O152" i="5"/>
  <c r="A153" i="5"/>
  <c r="A148" i="8" s="1"/>
  <c r="A150" i="5"/>
  <c r="A145" i="8" s="1"/>
  <c r="A147" i="5"/>
  <c r="A142" i="8" s="1"/>
  <c r="A144" i="5"/>
  <c r="A139" i="8" s="1"/>
  <c r="A141" i="5"/>
  <c r="A136" i="8" s="1"/>
  <c r="A138" i="5"/>
  <c r="A133" i="8" s="1"/>
  <c r="A135" i="5"/>
  <c r="A130" i="8" s="1"/>
  <c r="A132" i="5"/>
  <c r="A127" i="8" s="1"/>
  <c r="A129" i="5"/>
  <c r="A124" i="8" s="1"/>
  <c r="A126" i="5"/>
  <c r="A121" i="8" s="1"/>
  <c r="A123" i="5"/>
  <c r="A118" i="8" s="1"/>
  <c r="A120" i="5"/>
  <c r="A115" i="8" s="1"/>
  <c r="A117" i="5"/>
  <c r="A112" i="8" s="1"/>
  <c r="A114" i="5"/>
  <c r="A109" i="8" s="1"/>
  <c r="A111" i="5"/>
  <c r="A106" i="8" s="1"/>
  <c r="A108" i="5"/>
  <c r="A103" i="8" s="1"/>
  <c r="A105" i="5"/>
  <c r="A100" i="8" s="1"/>
  <c r="A102" i="5"/>
  <c r="A97" i="8" s="1"/>
  <c r="A99" i="5"/>
  <c r="A94" i="8" s="1"/>
  <c r="A96" i="5"/>
  <c r="A91" i="8" s="1"/>
  <c r="A93" i="5"/>
  <c r="A88" i="8" s="1"/>
  <c r="A90" i="5"/>
  <c r="A85" i="8" s="1"/>
  <c r="A87" i="5"/>
  <c r="A82" i="8" s="1"/>
  <c r="A84" i="5"/>
  <c r="A79" i="8" s="1"/>
  <c r="A81" i="5"/>
  <c r="A76" i="8" s="1"/>
  <c r="A78" i="5"/>
  <c r="A73" i="8" s="1"/>
  <c r="A75" i="5"/>
  <c r="A70" i="8" s="1"/>
  <c r="A72" i="5"/>
  <c r="A67" i="8" s="1"/>
  <c r="A69" i="5"/>
  <c r="A64" i="8" s="1"/>
  <c r="A66" i="5"/>
  <c r="A61" i="8" s="1"/>
  <c r="A63" i="5"/>
  <c r="A58" i="8" s="1"/>
  <c r="A60" i="5"/>
  <c r="A55" i="8" s="1"/>
  <c r="A57" i="5"/>
  <c r="A52" i="8" s="1"/>
  <c r="A54" i="5"/>
  <c r="A49" i="8" s="1"/>
  <c r="A51" i="5"/>
  <c r="A46" i="8" s="1"/>
  <c r="A48" i="5"/>
  <c r="A43" i="8" s="1"/>
  <c r="A45" i="5"/>
  <c r="A40" i="8" s="1"/>
  <c r="A42" i="5"/>
  <c r="A37" i="8" s="1"/>
  <c r="A39" i="5"/>
  <c r="A34" i="8" s="1"/>
  <c r="O147" i="5"/>
  <c r="H148" i="5" s="1"/>
  <c r="O144" i="5"/>
  <c r="C145" i="5" s="1"/>
  <c r="O138" i="5"/>
  <c r="E139" i="5" s="1"/>
  <c r="O141" i="5"/>
  <c r="O135" i="5"/>
  <c r="L136" i="5" s="1"/>
  <c r="O132" i="5"/>
  <c r="H133" i="5" s="1"/>
  <c r="O129" i="5"/>
  <c r="I130" i="5" s="1"/>
  <c r="O126" i="5"/>
  <c r="O123" i="5"/>
  <c r="I124" i="5" s="1"/>
  <c r="O120" i="5"/>
  <c r="E121" i="5" s="1"/>
  <c r="O117" i="5"/>
  <c r="I118" i="5" s="1"/>
  <c r="O114" i="5"/>
  <c r="O111" i="5"/>
  <c r="J112" i="5" s="1"/>
  <c r="O108" i="5"/>
  <c r="G109" i="5" s="1"/>
  <c r="O105" i="5"/>
  <c r="I106" i="5" s="1"/>
  <c r="O102" i="5"/>
  <c r="O99" i="5"/>
  <c r="O96" i="5"/>
  <c r="D97" i="5" s="1"/>
  <c r="O93" i="5"/>
  <c r="M94" i="5" s="1"/>
  <c r="O90" i="5"/>
  <c r="E91" i="5" s="1"/>
  <c r="O87" i="5"/>
  <c r="M88" i="5" s="1"/>
  <c r="O84" i="5"/>
  <c r="M85" i="5" s="1"/>
  <c r="O81" i="5"/>
  <c r="J82" i="5" s="1"/>
  <c r="O78" i="5"/>
  <c r="O75" i="5"/>
  <c r="E76" i="5" s="1"/>
  <c r="O72" i="5"/>
  <c r="M73" i="5" s="1"/>
  <c r="O69" i="5"/>
  <c r="H70" i="5" s="1"/>
  <c r="O66" i="5"/>
  <c r="H67" i="5" s="1"/>
  <c r="O63" i="5"/>
  <c r="G64" i="5" s="1"/>
  <c r="O60" i="5"/>
  <c r="D61" i="5" s="1"/>
  <c r="O57" i="5"/>
  <c r="D58" i="5" s="1"/>
  <c r="O54" i="5"/>
  <c r="O51" i="5"/>
  <c r="O48" i="5"/>
  <c r="K49" i="5" s="1"/>
  <c r="J28" i="2"/>
  <c r="I58" i="6" s="1"/>
  <c r="J27" i="2"/>
  <c r="K55" i="6" s="1"/>
  <c r="K127" i="6" s="1"/>
  <c r="J26" i="2"/>
  <c r="J25" i="2"/>
  <c r="J24" i="2"/>
  <c r="G46" i="6" s="1"/>
  <c r="G118" i="6" s="1"/>
  <c r="I20" i="2"/>
  <c r="I19" i="2"/>
  <c r="I13" i="2"/>
  <c r="I11" i="2"/>
  <c r="E42" i="2"/>
  <c r="G17" i="2"/>
  <c r="O146" i="5"/>
  <c r="O143" i="5"/>
  <c r="O140" i="5"/>
  <c r="O131" i="5"/>
  <c r="O125" i="5"/>
  <c r="O119" i="5"/>
  <c r="O116" i="5"/>
  <c r="O113" i="5"/>
  <c r="O110" i="5"/>
  <c r="O107" i="5"/>
  <c r="O104" i="5"/>
  <c r="O98" i="5"/>
  <c r="O95" i="5"/>
  <c r="O92" i="5"/>
  <c r="O45" i="5"/>
  <c r="G46" i="5" s="1"/>
  <c r="O42" i="5"/>
  <c r="I43" i="5" s="1"/>
  <c r="O39" i="5"/>
  <c r="I40" i="5" s="1"/>
  <c r="O36" i="5"/>
  <c r="M37" i="5" s="1"/>
  <c r="O24" i="5"/>
  <c r="H25" i="5" s="1"/>
  <c r="O21" i="5"/>
  <c r="O18" i="5"/>
  <c r="G19" i="5" s="1"/>
  <c r="O15" i="5"/>
  <c r="M16" i="5" s="1"/>
  <c r="O12" i="5"/>
  <c r="C13" i="5" s="1"/>
  <c r="O9" i="5"/>
  <c r="N9" i="5" s="1"/>
  <c r="A27" i="5"/>
  <c r="A22" i="8" s="1"/>
  <c r="O8" i="5"/>
  <c r="O3" i="8" s="1"/>
  <c r="N8" i="5"/>
  <c r="N3" i="8" s="1"/>
  <c r="M8" i="5"/>
  <c r="M3" i="8" s="1"/>
  <c r="L8" i="5"/>
  <c r="L3" i="8" s="1"/>
  <c r="K8" i="5"/>
  <c r="K3" i="8" s="1"/>
  <c r="J8" i="5"/>
  <c r="J3" i="8" s="1"/>
  <c r="I8" i="5"/>
  <c r="I3" i="8" s="1"/>
  <c r="H8" i="5"/>
  <c r="H3" i="8" s="1"/>
  <c r="G8" i="5"/>
  <c r="G3" i="8" s="1"/>
  <c r="F8" i="5"/>
  <c r="F3" i="8" s="1"/>
  <c r="E8" i="5"/>
  <c r="E3" i="8" s="1"/>
  <c r="D8" i="5"/>
  <c r="D3" i="8" s="1"/>
  <c r="C8" i="5"/>
  <c r="C3" i="8" s="1"/>
  <c r="A24" i="6"/>
  <c r="G22" i="2"/>
  <c r="G21" i="2"/>
  <c r="G20" i="2"/>
  <c r="G19" i="2"/>
  <c r="B142"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2" i="6"/>
  <c r="B91" i="6"/>
  <c r="B90" i="6"/>
  <c r="B89" i="6"/>
  <c r="B88" i="6"/>
  <c r="B87" i="6"/>
  <c r="B86" i="6"/>
  <c r="B85" i="6"/>
  <c r="B84" i="6"/>
  <c r="B83" i="6"/>
  <c r="B82" i="6"/>
  <c r="B81" i="6"/>
  <c r="B80" i="6"/>
  <c r="B79" i="6"/>
  <c r="B78" i="6"/>
  <c r="O77" i="6"/>
  <c r="N77" i="6"/>
  <c r="M77" i="6"/>
  <c r="L77" i="6"/>
  <c r="K77" i="6"/>
  <c r="J77" i="6"/>
  <c r="I77" i="6"/>
  <c r="H77" i="6"/>
  <c r="G77" i="6"/>
  <c r="F77" i="6"/>
  <c r="E77" i="6"/>
  <c r="D77" i="6"/>
  <c r="C77" i="6"/>
  <c r="O3" i="7"/>
  <c r="N3" i="7"/>
  <c r="M3" i="7"/>
  <c r="L3" i="7"/>
  <c r="K3" i="7"/>
  <c r="J3" i="7"/>
  <c r="I3" i="7"/>
  <c r="H3" i="7"/>
  <c r="G3" i="7"/>
  <c r="F3" i="7"/>
  <c r="E3" i="7"/>
  <c r="D3" i="7"/>
  <c r="C3" i="7"/>
  <c r="A4" i="7"/>
  <c r="O63" i="3"/>
  <c r="K64" i="3" s="1"/>
  <c r="O60" i="3"/>
  <c r="F61" i="3" s="1"/>
  <c r="O57" i="3"/>
  <c r="O54" i="3"/>
  <c r="G55" i="3" s="1"/>
  <c r="O51" i="3"/>
  <c r="F52" i="3" s="1"/>
  <c r="O48" i="3"/>
  <c r="L49" i="3" s="1"/>
  <c r="O45" i="3"/>
  <c r="H46" i="3" s="1"/>
  <c r="O42" i="3"/>
  <c r="O39" i="3"/>
  <c r="O36" i="3"/>
  <c r="C37" i="3" s="1"/>
  <c r="O33" i="3"/>
  <c r="L34" i="3" s="1"/>
  <c r="O30" i="3"/>
  <c r="E31" i="3" s="1"/>
  <c r="O27" i="3"/>
  <c r="O21" i="3"/>
  <c r="E22" i="3" s="1"/>
  <c r="O18" i="3"/>
  <c r="O15" i="3"/>
  <c r="D16" i="3" s="1"/>
  <c r="O12" i="3"/>
  <c r="B141" i="6"/>
  <c r="B140" i="6"/>
  <c r="B139" i="6"/>
  <c r="O3" i="6"/>
  <c r="N3" i="6"/>
  <c r="M3" i="6"/>
  <c r="L3" i="6"/>
  <c r="K3" i="6"/>
  <c r="J3" i="6"/>
  <c r="I3" i="6"/>
  <c r="H3" i="6"/>
  <c r="G3" i="6"/>
  <c r="F3" i="6"/>
  <c r="E3" i="6"/>
  <c r="D3" i="6"/>
  <c r="C3" i="6"/>
  <c r="O86" i="4"/>
  <c r="H82" i="4"/>
  <c r="O83" i="4"/>
  <c r="O80" i="4"/>
  <c r="O77" i="4"/>
  <c r="J67" i="4"/>
  <c r="O68" i="4"/>
  <c r="L58" i="4"/>
  <c r="O62" i="4"/>
  <c r="O53" i="4"/>
  <c r="O50" i="4"/>
  <c r="O47" i="4"/>
  <c r="O38" i="4"/>
  <c r="O32" i="4"/>
  <c r="O29" i="4"/>
  <c r="O26" i="4"/>
  <c r="O23" i="4"/>
  <c r="O86" i="5"/>
  <c r="O83" i="5"/>
  <c r="O77" i="5"/>
  <c r="O74" i="5"/>
  <c r="O71" i="5"/>
  <c r="O62" i="5"/>
  <c r="O56" i="5"/>
  <c r="O53" i="5"/>
  <c r="O46" i="8" s="1"/>
  <c r="O50" i="5"/>
  <c r="O44" i="5"/>
  <c r="A36" i="5"/>
  <c r="A31" i="8" s="1"/>
  <c r="O29" i="5"/>
  <c r="M28" i="5"/>
  <c r="K28" i="5"/>
  <c r="I28" i="5"/>
  <c r="G28" i="5"/>
  <c r="E28" i="5"/>
  <c r="C28" i="5"/>
  <c r="N28" i="5"/>
  <c r="O26" i="5"/>
  <c r="A24" i="5"/>
  <c r="A19" i="8" s="1"/>
  <c r="O23" i="5"/>
  <c r="A21" i="5"/>
  <c r="A16" i="8" s="1"/>
  <c r="A18" i="5"/>
  <c r="A13" i="8" s="1"/>
  <c r="A15" i="5"/>
  <c r="A10" i="8" s="1"/>
  <c r="O14" i="5"/>
  <c r="A12" i="5"/>
  <c r="A7" i="8" s="1"/>
  <c r="O11" i="5"/>
  <c r="A9" i="5"/>
  <c r="A4" i="8" s="1"/>
  <c r="O68" i="3"/>
  <c r="O65" i="3"/>
  <c r="O44" i="3"/>
  <c r="O23" i="3"/>
  <c r="O174" i="3"/>
  <c r="N174" i="3"/>
  <c r="M174" i="3"/>
  <c r="L174" i="3"/>
  <c r="K174" i="3"/>
  <c r="J174" i="3"/>
  <c r="I174" i="3"/>
  <c r="H174" i="3"/>
  <c r="G174" i="3"/>
  <c r="F174" i="3"/>
  <c r="E174" i="3"/>
  <c r="D174" i="3"/>
  <c r="C174"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8" i="3"/>
  <c r="A195" i="3"/>
  <c r="A194" i="3"/>
  <c r="A193" i="3"/>
  <c r="A192" i="3"/>
  <c r="A191" i="3"/>
  <c r="A189" i="3"/>
  <c r="A188" i="3"/>
  <c r="A187" i="3"/>
  <c r="A186" i="3"/>
  <c r="A185" i="3"/>
  <c r="A184" i="3"/>
  <c r="A183" i="3"/>
  <c r="A182" i="3"/>
  <c r="A181" i="3"/>
  <c r="A180" i="3"/>
  <c r="A179" i="3"/>
  <c r="A178" i="3"/>
  <c r="A177" i="3"/>
  <c r="A176" i="3"/>
  <c r="O44" i="4"/>
  <c r="O17" i="4"/>
  <c r="O14" i="4"/>
  <c r="O11" i="4"/>
  <c r="A84" i="4"/>
  <c r="A79" i="7" s="1"/>
  <c r="A81" i="4"/>
  <c r="A76" i="7" s="1"/>
  <c r="A78" i="4"/>
  <c r="A73" i="7" s="1"/>
  <c r="A75" i="4"/>
  <c r="A70" i="7" s="1"/>
  <c r="A72" i="4"/>
  <c r="A67" i="7" s="1"/>
  <c r="A69" i="4"/>
  <c r="A64" i="7" s="1"/>
  <c r="A66" i="4"/>
  <c r="A61" i="7" s="1"/>
  <c r="A63" i="4"/>
  <c r="A58" i="7" s="1"/>
  <c r="A60" i="4"/>
  <c r="A55" i="7" s="1"/>
  <c r="A57" i="4"/>
  <c r="A52" i="7" s="1"/>
  <c r="A54" i="4"/>
  <c r="A49" i="7" s="1"/>
  <c r="A51" i="4"/>
  <c r="A46" i="7" s="1"/>
  <c r="A48" i="4"/>
  <c r="A43" i="7" s="1"/>
  <c r="A45" i="4"/>
  <c r="A40" i="7" s="1"/>
  <c r="A42" i="4"/>
  <c r="A37" i="7" s="1"/>
  <c r="A39" i="4"/>
  <c r="A34" i="7" s="1"/>
  <c r="A36" i="4"/>
  <c r="A31" i="7" s="1"/>
  <c r="A33" i="4"/>
  <c r="A28" i="7" s="1"/>
  <c r="A30" i="4"/>
  <c r="A25" i="7" s="1"/>
  <c r="A27" i="4"/>
  <c r="A22" i="7" s="1"/>
  <c r="A24" i="4"/>
  <c r="A19" i="7" s="1"/>
  <c r="A21" i="4"/>
  <c r="A16" i="7" s="1"/>
  <c r="A18" i="4"/>
  <c r="A13" i="7" s="1"/>
  <c r="A15" i="4"/>
  <c r="A10" i="7" s="1"/>
  <c r="A12" i="4"/>
  <c r="A7" i="7" s="1"/>
  <c r="A70" i="3"/>
  <c r="A68" i="6" s="1"/>
  <c r="A140" i="6" s="1"/>
  <c r="A66" i="3"/>
  <c r="A64" i="6" s="1"/>
  <c r="A136" i="6" s="1"/>
  <c r="A63" i="3"/>
  <c r="A61" i="6" s="1"/>
  <c r="A133" i="6" s="1"/>
  <c r="A60" i="3"/>
  <c r="A58" i="6" s="1"/>
  <c r="A130" i="6" s="1"/>
  <c r="A57" i="3"/>
  <c r="A55" i="6" s="1"/>
  <c r="A127" i="6" s="1"/>
  <c r="A54" i="3"/>
  <c r="A52" i="6" s="1"/>
  <c r="A124" i="6" s="1"/>
  <c r="A51" i="3"/>
  <c r="A49" i="6" s="1"/>
  <c r="A121" i="6" s="1"/>
  <c r="A48" i="3"/>
  <c r="A46" i="6" s="1"/>
  <c r="A118" i="6" s="1"/>
  <c r="A45" i="3"/>
  <c r="A43" i="6" s="1"/>
  <c r="A115" i="6" s="1"/>
  <c r="A42" i="3"/>
  <c r="A40" i="6" s="1"/>
  <c r="A112" i="6" s="1"/>
  <c r="A39" i="3"/>
  <c r="A37" i="6" s="1"/>
  <c r="A109" i="6" s="1"/>
  <c r="A36" i="3"/>
  <c r="A34" i="6" s="1"/>
  <c r="A106" i="6" s="1"/>
  <c r="A33" i="3"/>
  <c r="A31" i="6" s="1"/>
  <c r="A103" i="6" s="1"/>
  <c r="A30" i="3"/>
  <c r="A28" i="6" s="1"/>
  <c r="A100" i="6" s="1"/>
  <c r="A27" i="3"/>
  <c r="A25" i="6" s="1"/>
  <c r="A97" i="6" s="1"/>
  <c r="A21" i="3"/>
  <c r="A16" i="6" s="1"/>
  <c r="A90" i="6" s="1"/>
  <c r="A18" i="3"/>
  <c r="A13" i="6" s="1"/>
  <c r="A87" i="6" s="1"/>
  <c r="A15" i="3"/>
  <c r="A10" i="6" s="1"/>
  <c r="A84" i="6" s="1"/>
  <c r="A12" i="3"/>
  <c r="A7" i="6" s="1"/>
  <c r="A81" i="6" s="1"/>
  <c r="A9" i="3"/>
  <c r="A4" i="6" s="1"/>
  <c r="A78" i="6" s="1"/>
  <c r="H31" i="1"/>
  <c r="H28" i="1"/>
  <c r="I31" i="1"/>
  <c r="D64" i="1"/>
  <c r="D63" i="1"/>
  <c r="D62" i="1"/>
  <c r="D61" i="1"/>
  <c r="D60" i="1"/>
  <c r="D59" i="1"/>
  <c r="D58" i="1"/>
  <c r="D56" i="1"/>
  <c r="D55" i="1"/>
  <c r="D54" i="1"/>
  <c r="D53" i="1"/>
  <c r="D52" i="1"/>
  <c r="D51" i="1"/>
  <c r="G71" i="1"/>
  <c r="F71" i="1"/>
  <c r="G70" i="1"/>
  <c r="F70" i="1"/>
  <c r="G69" i="1"/>
  <c r="F69" i="1"/>
  <c r="G68" i="1"/>
  <c r="F68" i="1"/>
  <c r="G67" i="1"/>
  <c r="F67" i="1"/>
  <c r="G66" i="1"/>
  <c r="F66" i="1"/>
  <c r="G65" i="1"/>
  <c r="F65" i="1"/>
  <c r="G64" i="1"/>
  <c r="F64" i="1"/>
  <c r="G63" i="1"/>
  <c r="F63" i="1"/>
  <c r="G62" i="1"/>
  <c r="F62" i="1"/>
  <c r="G61" i="1"/>
  <c r="F61" i="1"/>
  <c r="G60" i="1"/>
  <c r="F60" i="1"/>
  <c r="G59" i="1"/>
  <c r="F59" i="1"/>
  <c r="G58" i="1"/>
  <c r="F58" i="1"/>
  <c r="G56" i="1"/>
  <c r="F56" i="1"/>
  <c r="G55" i="1"/>
  <c r="F55" i="1"/>
  <c r="G54" i="1"/>
  <c r="F54" i="1"/>
  <c r="G53" i="1"/>
  <c r="F53" i="1"/>
  <c r="G52" i="1"/>
  <c r="F52" i="1"/>
  <c r="G51" i="1"/>
  <c r="F51" i="1"/>
  <c r="F62" i="2"/>
  <c r="E61" i="2"/>
  <c r="E60" i="2"/>
  <c r="E59" i="2"/>
  <c r="E58" i="2"/>
  <c r="E57" i="2"/>
  <c r="E56" i="2"/>
  <c r="E55" i="2"/>
  <c r="E54" i="2"/>
  <c r="E53" i="2"/>
  <c r="E52" i="2"/>
  <c r="E50" i="2"/>
  <c r="E49" i="2"/>
  <c r="E48" i="2"/>
  <c r="E47" i="2"/>
  <c r="E46" i="2"/>
  <c r="E45" i="2"/>
  <c r="E44" i="2"/>
  <c r="E43" i="2"/>
  <c r="E41" i="2"/>
  <c r="E40" i="2"/>
  <c r="E39" i="2"/>
  <c r="E38" i="2"/>
  <c r="E37" i="2"/>
  <c r="G18" i="2"/>
  <c r="G14" i="2"/>
  <c r="G13" i="2"/>
  <c r="G12" i="2"/>
  <c r="G11" i="2"/>
  <c r="G10" i="2"/>
  <c r="G9" i="2"/>
  <c r="F14" i="2"/>
  <c r="L14" i="2" s="1"/>
  <c r="K14" i="2" s="1"/>
  <c r="F13" i="2"/>
  <c r="L13" i="2" s="1"/>
  <c r="K13" i="2" s="1"/>
  <c r="E20" i="2"/>
  <c r="N20" i="2" s="1"/>
  <c r="E19" i="2"/>
  <c r="N19" i="2"/>
  <c r="E14" i="2"/>
  <c r="N14" i="2"/>
  <c r="J14" i="2" s="1"/>
  <c r="E13" i="2"/>
  <c r="N13" i="2" s="1"/>
  <c r="J13" i="2" s="1"/>
  <c r="E11" i="2"/>
  <c r="N11" i="2" s="1"/>
  <c r="J11" i="2" s="1"/>
  <c r="D10" i="6" s="1"/>
  <c r="C62" i="6"/>
  <c r="D62" i="6"/>
  <c r="E62" i="6"/>
  <c r="C44" i="6"/>
  <c r="E85" i="4"/>
  <c r="I85" i="4"/>
  <c r="M85" i="4"/>
  <c r="D85" i="4"/>
  <c r="H85" i="4"/>
  <c r="C79" i="4"/>
  <c r="K79" i="4"/>
  <c r="D79" i="4"/>
  <c r="I73" i="4"/>
  <c r="E70" i="4"/>
  <c r="M70" i="4"/>
  <c r="G61" i="4"/>
  <c r="C58" i="4"/>
  <c r="F58" i="4"/>
  <c r="J49" i="4"/>
  <c r="I43" i="4"/>
  <c r="M37" i="4"/>
  <c r="D37" i="4"/>
  <c r="C31" i="4"/>
  <c r="K31" i="4"/>
  <c r="H31" i="4"/>
  <c r="H25" i="4"/>
  <c r="M19" i="4"/>
  <c r="D19" i="4"/>
  <c r="F16" i="4"/>
  <c r="C13" i="4"/>
  <c r="I13" i="4"/>
  <c r="H13" i="4"/>
  <c r="G46" i="3"/>
  <c r="C64" i="3"/>
  <c r="E67" i="3"/>
  <c r="H10" i="5"/>
  <c r="J10" i="5"/>
  <c r="D22" i="5"/>
  <c r="F22" i="5"/>
  <c r="D28" i="5"/>
  <c r="F28" i="5"/>
  <c r="H28" i="5"/>
  <c r="J28" i="5"/>
  <c r="L28" i="5"/>
  <c r="H43" i="5"/>
  <c r="L31" i="4"/>
  <c r="G136" i="5"/>
  <c r="M148" i="5"/>
  <c r="F5" i="7"/>
  <c r="C5" i="7"/>
  <c r="D56" i="7"/>
  <c r="C53" i="7"/>
  <c r="F53" i="7"/>
  <c r="C38" i="7"/>
  <c r="D32" i="7"/>
  <c r="D29" i="7"/>
  <c r="H29" i="7"/>
  <c r="C29" i="7"/>
  <c r="D65" i="7"/>
  <c r="C65" i="7"/>
  <c r="D41" i="7"/>
  <c r="C41" i="7"/>
  <c r="C20" i="7"/>
  <c r="E5" i="7"/>
  <c r="E31" i="9"/>
  <c r="E22" i="9"/>
  <c r="G31" i="9"/>
  <c r="G13" i="9"/>
  <c r="I31" i="9"/>
  <c r="I13" i="9"/>
  <c r="M31" i="9"/>
  <c r="M22" i="9"/>
  <c r="M13" i="9"/>
  <c r="G31" i="2"/>
  <c r="O137" i="6" s="1"/>
  <c r="J58" i="3"/>
  <c r="I58" i="3"/>
  <c r="B31" i="9"/>
  <c r="F13" i="9"/>
  <c r="J22" i="9"/>
  <c r="J13" i="9"/>
  <c r="E15" i="2"/>
  <c r="F15" i="2"/>
  <c r="D33" i="2"/>
  <c r="E49" i="6"/>
  <c r="F49" i="6"/>
  <c r="F121" i="6" s="1"/>
  <c r="G49" i="6"/>
  <c r="G121" i="6" s="1"/>
  <c r="H49" i="6"/>
  <c r="H121" i="6" s="1"/>
  <c r="I49" i="6"/>
  <c r="I121" i="6" s="1"/>
  <c r="J49" i="6"/>
  <c r="J121" i="6" s="1"/>
  <c r="K49" i="6"/>
  <c r="K121" i="6" s="1"/>
  <c r="L49" i="6"/>
  <c r="L121" i="6" s="1"/>
  <c r="M49" i="6"/>
  <c r="M121" i="6" s="1"/>
  <c r="C49" i="6"/>
  <c r="C50" i="6" s="1"/>
  <c r="D49" i="6"/>
  <c r="D121" i="6" s="1"/>
  <c r="I55" i="6"/>
  <c r="I127" i="6" s="1"/>
  <c r="F122" i="2"/>
  <c r="P25" i="8"/>
  <c r="D46" i="6"/>
  <c r="E46" i="6"/>
  <c r="E118" i="6" s="1"/>
  <c r="F46" i="6"/>
  <c r="F118" i="6" s="1"/>
  <c r="H46" i="6"/>
  <c r="H118" i="6" s="1"/>
  <c r="I46" i="6"/>
  <c r="I118" i="6" s="1"/>
  <c r="L46" i="6"/>
  <c r="L118" i="6" s="1"/>
  <c r="M46" i="6"/>
  <c r="M118" i="6" s="1"/>
  <c r="C52" i="6"/>
  <c r="C53" i="6" s="1"/>
  <c r="D52" i="6"/>
  <c r="E52" i="6"/>
  <c r="E124" i="6" s="1"/>
  <c r="F52" i="6"/>
  <c r="F124" i="6" s="1"/>
  <c r="G52" i="6"/>
  <c r="H52" i="6"/>
  <c r="I52" i="6"/>
  <c r="I124" i="6" s="1"/>
  <c r="J52" i="6"/>
  <c r="J124" i="6" s="1"/>
  <c r="K52" i="6"/>
  <c r="K124" i="6" s="1"/>
  <c r="L52" i="6"/>
  <c r="M52" i="6"/>
  <c r="M124" i="6" s="1"/>
  <c r="C58" i="6"/>
  <c r="F58" i="6"/>
  <c r="G58" i="6"/>
  <c r="H58" i="6"/>
  <c r="J58" i="6"/>
  <c r="K58" i="6"/>
  <c r="E16" i="3"/>
  <c r="M112" i="5"/>
  <c r="E112" i="5"/>
  <c r="J136" i="5"/>
  <c r="E12" i="2"/>
  <c r="N12" i="2" s="1"/>
  <c r="J12" i="2" s="1"/>
  <c r="J13" i="1"/>
  <c r="N49" i="6"/>
  <c r="N121" i="6" s="1"/>
  <c r="M89" i="4"/>
  <c r="K89" i="4"/>
  <c r="I89" i="4"/>
  <c r="G89" i="4"/>
  <c r="E89" i="4"/>
  <c r="O90" i="4"/>
  <c r="D43" i="12"/>
  <c r="D10" i="14" s="1"/>
  <c r="I43" i="12"/>
  <c r="I10" i="14" s="1"/>
  <c r="C116" i="2"/>
  <c r="C112" i="2"/>
  <c r="C104" i="2"/>
  <c r="C81" i="2"/>
  <c r="C76" i="2"/>
  <c r="C115" i="2"/>
  <c r="C103" i="2"/>
  <c r="C99" i="2"/>
  <c r="C75" i="2"/>
  <c r="C114" i="2"/>
  <c r="C106" i="2"/>
  <c r="C98" i="2"/>
  <c r="C92" i="2"/>
  <c r="C117" i="2"/>
  <c r="C109" i="2"/>
  <c r="C91" i="2"/>
  <c r="C87" i="2"/>
  <c r="C80" i="2"/>
  <c r="K20" i="2"/>
  <c r="I14" i="1"/>
  <c r="K25" i="2"/>
  <c r="E40" i="6"/>
  <c r="G40" i="6"/>
  <c r="M40" i="6"/>
  <c r="D40" i="6"/>
  <c r="F40" i="6"/>
  <c r="J40" i="6"/>
  <c r="L40" i="6"/>
  <c r="E10" i="6"/>
  <c r="H10" i="6"/>
  <c r="L10" i="6"/>
  <c r="G10" i="6"/>
  <c r="F10" i="6"/>
  <c r="J10" i="6"/>
  <c r="K7" i="6"/>
  <c r="C7" i="6"/>
  <c r="E7" i="6"/>
  <c r="I7" i="6"/>
  <c r="M7" i="6"/>
  <c r="H7" i="6"/>
  <c r="L7" i="6"/>
  <c r="L52" i="3"/>
  <c r="G13" i="3"/>
  <c r="C19" i="3"/>
  <c r="H97" i="5"/>
  <c r="N112" i="5"/>
  <c r="L124" i="5"/>
  <c r="D124" i="5"/>
  <c r="F133" i="5"/>
  <c r="I28" i="6" l="1"/>
  <c r="H28" i="6"/>
  <c r="J28" i="6"/>
  <c r="D28" i="6"/>
  <c r="E28" i="6"/>
  <c r="M28" i="6"/>
  <c r="M81" i="6"/>
  <c r="H81" i="6"/>
  <c r="O28" i="5"/>
  <c r="J17" i="2"/>
  <c r="M28" i="2"/>
  <c r="K28" i="2" s="1"/>
  <c r="O142" i="6"/>
  <c r="O146" i="6" s="1"/>
  <c r="K17" i="2"/>
  <c r="G15" i="2"/>
  <c r="O90" i="6" s="1"/>
  <c r="N61" i="8"/>
  <c r="N130" i="8"/>
  <c r="N52" i="7"/>
  <c r="M31" i="3"/>
  <c r="J17" i="7"/>
  <c r="D131" i="8"/>
  <c r="D107" i="8"/>
  <c r="D83" i="8"/>
  <c r="D44" i="8"/>
  <c r="D23" i="8"/>
  <c r="D77" i="7"/>
  <c r="D53" i="7"/>
  <c r="E41" i="7"/>
  <c r="D5" i="7"/>
  <c r="L80" i="7"/>
  <c r="L85" i="7" s="1"/>
  <c r="K25" i="9" s="1"/>
  <c r="K26" i="9" s="1"/>
  <c r="K28" i="9" s="1"/>
  <c r="F32" i="7"/>
  <c r="D20" i="7"/>
  <c r="E8" i="7"/>
  <c r="K13" i="3"/>
  <c r="F4" i="6"/>
  <c r="J4" i="6"/>
  <c r="G130" i="6"/>
  <c r="L33" i="9"/>
  <c r="B33" i="9"/>
  <c r="J33" i="9"/>
  <c r="E33" i="9"/>
  <c r="D33" i="9"/>
  <c r="G33" i="9"/>
  <c r="M33" i="9"/>
  <c r="F33" i="9"/>
  <c r="C33" i="9"/>
  <c r="I33" i="9"/>
  <c r="H33" i="9"/>
  <c r="K33" i="9"/>
  <c r="K26" i="2"/>
  <c r="K11" i="2"/>
  <c r="B122" i="2"/>
  <c r="C122" i="2" s="1"/>
  <c r="G4" i="6"/>
  <c r="G151" i="5"/>
  <c r="D8" i="7"/>
  <c r="E32" i="7"/>
  <c r="C8" i="7"/>
  <c r="I67" i="3"/>
  <c r="D67" i="3"/>
  <c r="K151" i="5"/>
  <c r="N151" i="5"/>
  <c r="C32" i="7"/>
  <c r="E80" i="7"/>
  <c r="E85" i="7" s="1"/>
  <c r="D25" i="9" s="1"/>
  <c r="D26" i="9" s="1"/>
  <c r="D28" i="9" s="1"/>
  <c r="J16" i="4"/>
  <c r="J43" i="12"/>
  <c r="J10" i="14" s="1"/>
  <c r="L151" i="5"/>
  <c r="L22" i="9"/>
  <c r="D31" i="9"/>
  <c r="G80" i="7"/>
  <c r="G85" i="7" s="1"/>
  <c r="F25" i="9" s="1"/>
  <c r="F26" i="9" s="1"/>
  <c r="F28" i="9" s="1"/>
  <c r="B43" i="12"/>
  <c r="M43" i="5"/>
  <c r="C148" i="5"/>
  <c r="H52" i="3"/>
  <c r="M52" i="3"/>
  <c r="L31" i="9"/>
  <c r="H22" i="9"/>
  <c r="I94" i="5"/>
  <c r="F43" i="5"/>
  <c r="D16" i="5"/>
  <c r="E73" i="5"/>
  <c r="J29" i="7"/>
  <c r="F17" i="7"/>
  <c r="K36" i="9"/>
  <c r="G36" i="9"/>
  <c r="B36" i="9"/>
  <c r="L36" i="9"/>
  <c r="H36" i="9"/>
  <c r="D36" i="9"/>
  <c r="C36" i="9"/>
  <c r="M36" i="9"/>
  <c r="I36" i="9"/>
  <c r="E36" i="9"/>
  <c r="J36" i="9"/>
  <c r="F36" i="9"/>
  <c r="M32" i="9"/>
  <c r="I32" i="9"/>
  <c r="E32" i="9"/>
  <c r="J32" i="9"/>
  <c r="F32" i="9"/>
  <c r="C32" i="9"/>
  <c r="K32" i="9"/>
  <c r="G32" i="9"/>
  <c r="L32" i="9"/>
  <c r="H32" i="9"/>
  <c r="D32" i="9"/>
  <c r="B32" i="9"/>
  <c r="O133" i="8"/>
  <c r="H31" i="9"/>
  <c r="D13" i="9"/>
  <c r="M12" i="13"/>
  <c r="O12" i="13" s="1"/>
  <c r="E24" i="13"/>
  <c r="G24" i="13" s="1"/>
  <c r="E43" i="12"/>
  <c r="E10" i="14" s="1"/>
  <c r="C4" i="6"/>
  <c r="C5" i="6" s="1"/>
  <c r="K4" i="6"/>
  <c r="E4" i="6"/>
  <c r="G25" i="6"/>
  <c r="D25" i="6"/>
  <c r="F25" i="6"/>
  <c r="H25" i="6"/>
  <c r="L25" i="6"/>
  <c r="N25" i="6"/>
  <c r="K25" i="6"/>
  <c r="C25" i="6"/>
  <c r="C26" i="6" s="1"/>
  <c r="I25" i="6"/>
  <c r="M17" i="2"/>
  <c r="C13" i="6"/>
  <c r="C14" i="6" s="1"/>
  <c r="L13" i="6"/>
  <c r="M13" i="6"/>
  <c r="D13" i="6"/>
  <c r="E13" i="6"/>
  <c r="I13" i="6"/>
  <c r="G13" i="6"/>
  <c r="J13" i="6"/>
  <c r="K13" i="6"/>
  <c r="F13" i="6"/>
  <c r="H13" i="6"/>
  <c r="J16" i="1"/>
  <c r="N48" i="4"/>
  <c r="F49" i="4"/>
  <c r="E49" i="4"/>
  <c r="N64" i="7"/>
  <c r="N65" i="7" s="1"/>
  <c r="O71" i="4"/>
  <c r="F130" i="6"/>
  <c r="L55" i="6"/>
  <c r="L127" i="6" s="1"/>
  <c r="H17" i="7"/>
  <c r="M49" i="4"/>
  <c r="C28" i="4"/>
  <c r="I28" i="4"/>
  <c r="M28" i="4"/>
  <c r="K52" i="4"/>
  <c r="L52" i="4"/>
  <c r="E52" i="4"/>
  <c r="O35" i="3"/>
  <c r="N67" i="7"/>
  <c r="O74" i="4"/>
  <c r="O67" i="7" s="1"/>
  <c r="M11" i="2"/>
  <c r="D84" i="6" s="1"/>
  <c r="G28" i="6"/>
  <c r="K27" i="2"/>
  <c r="C105" i="2"/>
  <c r="C110" i="2"/>
  <c r="C119" i="2"/>
  <c r="C130" i="6"/>
  <c r="C33" i="2"/>
  <c r="G11" i="1" s="1"/>
  <c r="H11" i="1" s="1"/>
  <c r="D17" i="7"/>
  <c r="I49" i="4"/>
  <c r="N34" i="7"/>
  <c r="O34" i="7" s="1"/>
  <c r="N49" i="7"/>
  <c r="N50" i="7" s="1"/>
  <c r="O56" i="4"/>
  <c r="M19" i="3"/>
  <c r="G19" i="3"/>
  <c r="J55" i="6"/>
  <c r="J127" i="6" s="1"/>
  <c r="E55" i="6"/>
  <c r="E127" i="6" s="1"/>
  <c r="M55" i="6"/>
  <c r="M127" i="6" s="1"/>
  <c r="F55" i="6"/>
  <c r="F127" i="6" s="1"/>
  <c r="C55" i="6"/>
  <c r="C56" i="6" s="1"/>
  <c r="G55" i="6"/>
  <c r="G127" i="6" s="1"/>
  <c r="D55" i="6"/>
  <c r="C22" i="9"/>
  <c r="C13" i="9"/>
  <c r="K13" i="9"/>
  <c r="K22" i="9"/>
  <c r="I130" i="6"/>
  <c r="C39" i="13"/>
  <c r="G25" i="1" s="1"/>
  <c r="I25" i="1" s="1"/>
  <c r="G12" i="1"/>
  <c r="I12" i="1" s="1"/>
  <c r="C108" i="2"/>
  <c r="C72" i="2"/>
  <c r="C89" i="2"/>
  <c r="C102" i="2"/>
  <c r="C113" i="2"/>
  <c r="C73" i="2"/>
  <c r="C96" i="2"/>
  <c r="C111" i="2"/>
  <c r="C71" i="2"/>
  <c r="C88" i="2"/>
  <c r="C101" i="2"/>
  <c r="C90" i="2"/>
  <c r="C107" i="2"/>
  <c r="C118" i="2"/>
  <c r="C83" i="2"/>
  <c r="C97" i="2"/>
  <c r="N58" i="8"/>
  <c r="O58" i="8" s="1"/>
  <c r="O65" i="5"/>
  <c r="C74" i="2"/>
  <c r="C82" i="2"/>
  <c r="C85" i="2"/>
  <c r="H43" i="12"/>
  <c r="H10" i="14" s="1"/>
  <c r="K130" i="6"/>
  <c r="N11" i="3"/>
  <c r="O11" i="3" s="1"/>
  <c r="K31" i="9"/>
  <c r="K19" i="2"/>
  <c r="K21" i="2"/>
  <c r="N142" i="8"/>
  <c r="E25" i="4"/>
  <c r="C25" i="4"/>
  <c r="L73" i="4"/>
  <c r="K73" i="4"/>
  <c r="F73" i="4"/>
  <c r="D73" i="4"/>
  <c r="M22" i="12"/>
  <c r="M5" i="14"/>
  <c r="H55" i="6"/>
  <c r="H127" i="6" s="1"/>
  <c r="C31" i="9"/>
  <c r="M9" i="2"/>
  <c r="E84" i="6"/>
  <c r="B125" i="2"/>
  <c r="C78" i="2"/>
  <c r="C93" i="2"/>
  <c r="C100" i="2"/>
  <c r="J130" i="6"/>
  <c r="G27" i="1"/>
  <c r="H27" i="1" s="1"/>
  <c r="H35" i="1" s="1"/>
  <c r="N10" i="6"/>
  <c r="N84" i="6" s="1"/>
  <c r="I10" i="6"/>
  <c r="K10" i="6"/>
  <c r="M10" i="6"/>
  <c r="M11" i="6" s="1"/>
  <c r="C10" i="6"/>
  <c r="C84" i="6" s="1"/>
  <c r="C85" i="6" s="1"/>
  <c r="I22" i="5"/>
  <c r="K22" i="5"/>
  <c r="L22" i="5"/>
  <c r="D52" i="5"/>
  <c r="H52" i="5"/>
  <c r="K100" i="5"/>
  <c r="N100" i="5"/>
  <c r="D148" i="5"/>
  <c r="K148" i="5"/>
  <c r="I148" i="5"/>
  <c r="J148" i="5"/>
  <c r="E148" i="5"/>
  <c r="F22" i="9"/>
  <c r="F31" i="9"/>
  <c r="J21" i="2"/>
  <c r="N127" i="8"/>
  <c r="N128" i="8" s="1"/>
  <c r="O134" i="5"/>
  <c r="N115" i="8"/>
  <c r="O115" i="8" s="1"/>
  <c r="O122" i="5"/>
  <c r="N33" i="12"/>
  <c r="E31" i="13" s="1"/>
  <c r="G31" i="13" s="1"/>
  <c r="H130" i="6"/>
  <c r="M14" i="2"/>
  <c r="M34" i="3"/>
  <c r="F34" i="3"/>
  <c r="D34" i="3"/>
  <c r="F58" i="3"/>
  <c r="H58" i="3"/>
  <c r="L28" i="6"/>
  <c r="K28" i="6"/>
  <c r="C28" i="6"/>
  <c r="C29" i="6" s="1"/>
  <c r="F28" i="6"/>
  <c r="H68" i="7"/>
  <c r="F68" i="7"/>
  <c r="H44" i="7"/>
  <c r="G44" i="7"/>
  <c r="J44" i="7"/>
  <c r="E20" i="7"/>
  <c r="F20" i="7"/>
  <c r="D11" i="8"/>
  <c r="C11" i="8"/>
  <c r="J65" i="7"/>
  <c r="E65" i="7"/>
  <c r="H41" i="7"/>
  <c r="F41" i="7"/>
  <c r="E17" i="7"/>
  <c r="C17" i="7"/>
  <c r="J19" i="2"/>
  <c r="J15" i="2"/>
  <c r="J7" i="6"/>
  <c r="N13" i="6"/>
  <c r="K40" i="6"/>
  <c r="K24" i="2"/>
  <c r="M58" i="6"/>
  <c r="M130" i="6" s="1"/>
  <c r="E58" i="6"/>
  <c r="E130" i="6" s="1"/>
  <c r="H124" i="6"/>
  <c r="K46" i="6"/>
  <c r="K118" i="6" s="1"/>
  <c r="C46" i="6"/>
  <c r="C118" i="6" s="1"/>
  <c r="C119" i="6" s="1"/>
  <c r="H30" i="1"/>
  <c r="H36" i="1" s="1"/>
  <c r="E29" i="7"/>
  <c r="D82" i="5"/>
  <c r="E16" i="4"/>
  <c r="F40" i="4"/>
  <c r="O59" i="5"/>
  <c r="C13" i="3"/>
  <c r="D40" i="3"/>
  <c r="O101" i="5"/>
  <c r="I46" i="8"/>
  <c r="K18" i="2"/>
  <c r="M18" i="2" s="1"/>
  <c r="I100" i="6" s="1"/>
  <c r="K12" i="2"/>
  <c r="M12" i="2" s="1"/>
  <c r="H4" i="6"/>
  <c r="N7" i="6"/>
  <c r="N81" i="6" s="1"/>
  <c r="F7" i="6"/>
  <c r="F81" i="6" s="1"/>
  <c r="I40" i="6"/>
  <c r="K118" i="5"/>
  <c r="L58" i="6"/>
  <c r="L130" i="6" s="1"/>
  <c r="D58" i="6"/>
  <c r="D130" i="6" s="1"/>
  <c r="G124" i="6"/>
  <c r="J46" i="6"/>
  <c r="J118" i="6" s="1"/>
  <c r="J19" i="4"/>
  <c r="M40" i="4"/>
  <c r="O20" i="5"/>
  <c r="O41" i="5"/>
  <c r="O35" i="4"/>
  <c r="M16" i="3"/>
  <c r="O128" i="5"/>
  <c r="H46" i="8"/>
  <c r="K47" i="8" s="1"/>
  <c r="N40" i="6"/>
  <c r="N58" i="7"/>
  <c r="I4" i="6"/>
  <c r="N40" i="8"/>
  <c r="N41" i="8" s="1"/>
  <c r="N82" i="8"/>
  <c r="N83" i="8" s="1"/>
  <c r="C151" i="5"/>
  <c r="E61" i="3"/>
  <c r="D7" i="6"/>
  <c r="D81" i="6" s="1"/>
  <c r="H40" i="6"/>
  <c r="F151" i="5"/>
  <c r="L124" i="6"/>
  <c r="G5" i="7"/>
  <c r="E19" i="4"/>
  <c r="I31" i="4"/>
  <c r="G64" i="4"/>
  <c r="F79" i="4"/>
  <c r="O20" i="4"/>
  <c r="L43" i="4"/>
  <c r="L79" i="4"/>
  <c r="M46" i="8"/>
  <c r="K22" i="2"/>
  <c r="M22" i="2" s="1"/>
  <c r="B10" i="14"/>
  <c r="D4" i="6"/>
  <c r="L4" i="6"/>
  <c r="M4" i="6"/>
  <c r="E22" i="5"/>
  <c r="C43" i="5"/>
  <c r="O22" i="13"/>
  <c r="O27" i="13" s="1"/>
  <c r="J29" i="1" s="1"/>
  <c r="M27" i="13"/>
  <c r="O24" i="3"/>
  <c r="O14" i="13"/>
  <c r="B22" i="9"/>
  <c r="L81" i="6"/>
  <c r="I81" i="6"/>
  <c r="J81" i="6"/>
  <c r="G81" i="6"/>
  <c r="E81" i="6"/>
  <c r="K81" i="6"/>
  <c r="I46" i="3"/>
  <c r="G58" i="3"/>
  <c r="G88" i="5"/>
  <c r="H76" i="5"/>
  <c r="G10" i="5"/>
  <c r="J34" i="3"/>
  <c r="H151" i="5"/>
  <c r="N139" i="5"/>
  <c r="E52" i="3"/>
  <c r="K58" i="3"/>
  <c r="L58" i="3"/>
  <c r="D58" i="3"/>
  <c r="M130" i="5"/>
  <c r="D70" i="5"/>
  <c r="J43" i="5"/>
  <c r="J37" i="5"/>
  <c r="H22" i="5"/>
  <c r="L10" i="5"/>
  <c r="D10" i="5"/>
  <c r="C46" i="3"/>
  <c r="M22" i="3"/>
  <c r="D58" i="4"/>
  <c r="J70" i="4"/>
  <c r="N81" i="4"/>
  <c r="N46" i="3"/>
  <c r="C22" i="5"/>
  <c r="K43" i="5"/>
  <c r="K43" i="3"/>
  <c r="M151" i="5"/>
  <c r="G61" i="3"/>
  <c r="L106" i="5"/>
  <c r="J58" i="5"/>
  <c r="I61" i="3"/>
  <c r="J37" i="3"/>
  <c r="M61" i="3"/>
  <c r="H34" i="3"/>
  <c r="N94" i="5"/>
  <c r="M58" i="3"/>
  <c r="E58" i="3"/>
  <c r="L43" i="5"/>
  <c r="D43" i="5"/>
  <c r="J22" i="5"/>
  <c r="F10" i="5"/>
  <c r="K46" i="3"/>
  <c r="I10" i="5"/>
  <c r="M22" i="5"/>
  <c r="E43" i="5"/>
  <c r="M25" i="8"/>
  <c r="M157" i="8" s="1"/>
  <c r="L8" i="9" s="1"/>
  <c r="M70" i="3"/>
  <c r="L9" i="10" s="1"/>
  <c r="J53" i="7"/>
  <c r="J41" i="7"/>
  <c r="L56" i="7"/>
  <c r="J8" i="7"/>
  <c r="G65" i="7"/>
  <c r="G53" i="7"/>
  <c r="I29" i="7"/>
  <c r="I17" i="7"/>
  <c r="I5" i="7"/>
  <c r="E70" i="3"/>
  <c r="D9" i="10" s="1"/>
  <c r="D16" i="10" s="1"/>
  <c r="D18" i="10" s="1"/>
  <c r="H121" i="5"/>
  <c r="H16" i="3"/>
  <c r="K61" i="3"/>
  <c r="N60" i="3"/>
  <c r="N61" i="3" s="1"/>
  <c r="F16" i="3"/>
  <c r="J31" i="3"/>
  <c r="J151" i="5"/>
  <c r="L148" i="5"/>
  <c r="M118" i="5"/>
  <c r="J106" i="5"/>
  <c r="K52" i="3"/>
  <c r="G148" i="5"/>
  <c r="K139" i="5"/>
  <c r="H64" i="5"/>
  <c r="L37" i="5"/>
  <c r="L16" i="5"/>
  <c r="G19" i="4"/>
  <c r="F31" i="4"/>
  <c r="F43" i="4"/>
  <c r="I79" i="4"/>
  <c r="C67" i="4"/>
  <c r="E151" i="5"/>
  <c r="M56" i="7"/>
  <c r="M44" i="7"/>
  <c r="M41" i="7"/>
  <c r="L16" i="3"/>
  <c r="D52" i="3"/>
  <c r="C121" i="6"/>
  <c r="D122" i="6" s="1"/>
  <c r="D43" i="3"/>
  <c r="J130" i="5"/>
  <c r="D106" i="5"/>
  <c r="G52" i="3"/>
  <c r="G43" i="3"/>
  <c r="N58" i="6"/>
  <c r="N130" i="6" s="1"/>
  <c r="I62" i="6"/>
  <c r="G17" i="7"/>
  <c r="G41" i="7"/>
  <c r="I41" i="7"/>
  <c r="F65" i="7"/>
  <c r="F29" i="7"/>
  <c r="M133" i="5"/>
  <c r="L8" i="7"/>
  <c r="G85" i="5"/>
  <c r="H73" i="5"/>
  <c r="H61" i="5"/>
  <c r="H49" i="5"/>
  <c r="M64" i="3"/>
  <c r="M16" i="4"/>
  <c r="H19" i="4"/>
  <c r="K19" i="4"/>
  <c r="C19" i="4"/>
  <c r="H28" i="4"/>
  <c r="E28" i="4"/>
  <c r="D31" i="4"/>
  <c r="G31" i="4"/>
  <c r="I40" i="4"/>
  <c r="J79" i="4"/>
  <c r="N78" i="4"/>
  <c r="G79" i="4"/>
  <c r="L16" i="4"/>
  <c r="L67" i="4"/>
  <c r="G70" i="3"/>
  <c r="F9" i="10" s="1"/>
  <c r="F10" i="10" s="1"/>
  <c r="F11" i="10" s="1"/>
  <c r="E35" i="8"/>
  <c r="F145" i="5"/>
  <c r="F109" i="5"/>
  <c r="C43" i="12"/>
  <c r="C10" i="14" s="1"/>
  <c r="J139" i="5"/>
  <c r="N130" i="5"/>
  <c r="I52" i="3"/>
  <c r="N46" i="6"/>
  <c r="N118" i="6" s="1"/>
  <c r="J62" i="6"/>
  <c r="I65" i="7"/>
  <c r="G29" i="7"/>
  <c r="I139" i="5"/>
  <c r="E130" i="5"/>
  <c r="E94" i="5"/>
  <c r="J64" i="4"/>
  <c r="H82" i="5"/>
  <c r="L70" i="5"/>
  <c r="L58" i="5"/>
  <c r="K55" i="3"/>
  <c r="I16" i="4"/>
  <c r="F19" i="4"/>
  <c r="I19" i="4"/>
  <c r="D28" i="4"/>
  <c r="J31" i="4"/>
  <c r="M31" i="4"/>
  <c r="E31" i="4"/>
  <c r="J40" i="4"/>
  <c r="E40" i="4"/>
  <c r="J52" i="4"/>
  <c r="H79" i="4"/>
  <c r="M79" i="4"/>
  <c r="E79" i="4"/>
  <c r="L19" i="4"/>
  <c r="K67" i="4"/>
  <c r="I97" i="5"/>
  <c r="H44" i="8"/>
  <c r="H65" i="7"/>
  <c r="G16" i="5"/>
  <c r="L61" i="3"/>
  <c r="N66" i="4"/>
  <c r="N67" i="4" s="1"/>
  <c r="L70" i="3"/>
  <c r="K9" i="10" s="1"/>
  <c r="K16" i="10" s="1"/>
  <c r="K18" i="10" s="1"/>
  <c r="N143" i="8"/>
  <c r="N131" i="8"/>
  <c r="N119" i="8"/>
  <c r="N107" i="8"/>
  <c r="N95" i="8"/>
  <c r="N71" i="8"/>
  <c r="O43" i="8"/>
  <c r="O22" i="8"/>
  <c r="O76" i="7"/>
  <c r="L65" i="7"/>
  <c r="K70" i="3"/>
  <c r="K71" i="3" s="1"/>
  <c r="N82" i="5"/>
  <c r="M106" i="5"/>
  <c r="C61" i="3"/>
  <c r="I53" i="7"/>
  <c r="H70" i="3"/>
  <c r="G9" i="10" s="1"/>
  <c r="H22" i="3"/>
  <c r="N22" i="3"/>
  <c r="F22" i="3"/>
  <c r="N21" i="3"/>
  <c r="J22" i="3"/>
  <c r="C22" i="3"/>
  <c r="K22" i="3"/>
  <c r="F49" i="3"/>
  <c r="C49" i="3"/>
  <c r="J49" i="3"/>
  <c r="L25" i="8"/>
  <c r="L157" i="8" s="1"/>
  <c r="K8" i="9" s="1"/>
  <c r="H49" i="3"/>
  <c r="C81" i="6"/>
  <c r="G22" i="3"/>
  <c r="D13" i="3"/>
  <c r="I13" i="3"/>
  <c r="M13" i="3"/>
  <c r="E13" i="3"/>
  <c r="L62" i="7"/>
  <c r="H59" i="7"/>
  <c r="C86" i="8"/>
  <c r="F86" i="8"/>
  <c r="O85" i="8"/>
  <c r="O31" i="8"/>
  <c r="O13" i="8"/>
  <c r="D80" i="7"/>
  <c r="D85" i="7" s="1"/>
  <c r="C25" i="9" s="1"/>
  <c r="C26" i="9" s="1"/>
  <c r="C28" i="9" s="1"/>
  <c r="F80" i="7"/>
  <c r="F85" i="7" s="1"/>
  <c r="E25" i="9" s="1"/>
  <c r="E26" i="9" s="1"/>
  <c r="E28" i="9" s="1"/>
  <c r="C80" i="7"/>
  <c r="C85" i="7" s="1"/>
  <c r="B25" i="9" s="1"/>
  <c r="M68" i="7"/>
  <c r="L68" i="7"/>
  <c r="E68" i="7"/>
  <c r="F56" i="7"/>
  <c r="G56" i="7"/>
  <c r="H56" i="7"/>
  <c r="O43" i="7"/>
  <c r="D44" i="7"/>
  <c r="F44" i="7"/>
  <c r="C44" i="7"/>
  <c r="E44" i="7"/>
  <c r="M32" i="7"/>
  <c r="G32" i="7"/>
  <c r="H32" i="7"/>
  <c r="J32" i="7"/>
  <c r="M20" i="7"/>
  <c r="G20" i="7"/>
  <c r="H20" i="7"/>
  <c r="J20" i="7"/>
  <c r="G8" i="7"/>
  <c r="F8" i="7"/>
  <c r="H8" i="7"/>
  <c r="H64" i="6"/>
  <c r="H136" i="6" s="1"/>
  <c r="K64" i="6"/>
  <c r="K136" i="6" s="1"/>
  <c r="J67" i="3"/>
  <c r="G67" i="3"/>
  <c r="N66" i="3"/>
  <c r="M67" i="3"/>
  <c r="M64" i="6"/>
  <c r="M136" i="6" s="1"/>
  <c r="H37" i="3"/>
  <c r="I37" i="3"/>
  <c r="F37" i="3"/>
  <c r="M37" i="3"/>
  <c r="E37" i="3"/>
  <c r="D49" i="3"/>
  <c r="G37" i="3"/>
  <c r="L22" i="3"/>
  <c r="N48" i="3"/>
  <c r="N49" i="3" s="1"/>
  <c r="K37" i="3"/>
  <c r="I22" i="3"/>
  <c r="D19" i="3"/>
  <c r="K19" i="3"/>
  <c r="E19" i="3"/>
  <c r="C85" i="4"/>
  <c r="K85" i="4"/>
  <c r="F85" i="4"/>
  <c r="N85" i="4"/>
  <c r="L85" i="4"/>
  <c r="G85" i="4"/>
  <c r="N84" i="4"/>
  <c r="J85" i="4"/>
  <c r="N28" i="6"/>
  <c r="N100" i="6" s="1"/>
  <c r="O32" i="3"/>
  <c r="N52" i="6"/>
  <c r="N124" i="6" s="1"/>
  <c r="O56" i="3"/>
  <c r="J25" i="8"/>
  <c r="I25" i="8"/>
  <c r="I133" i="6"/>
  <c r="K62" i="6"/>
  <c r="H5" i="7"/>
  <c r="J5" i="7"/>
  <c r="H31" i="3"/>
  <c r="N133" i="5"/>
  <c r="L121" i="5"/>
  <c r="M109" i="5"/>
  <c r="F31" i="3"/>
  <c r="N28" i="4"/>
  <c r="F43" i="12"/>
  <c r="F10" i="14" s="1"/>
  <c r="E43" i="3"/>
  <c r="L28" i="4"/>
  <c r="H85" i="5"/>
  <c r="C55" i="3"/>
  <c r="D16" i="4"/>
  <c r="G16" i="4"/>
  <c r="J28" i="4"/>
  <c r="N27" i="4"/>
  <c r="G28" i="4"/>
  <c r="H40" i="4"/>
  <c r="K40" i="4"/>
  <c r="C40" i="4"/>
  <c r="H49" i="4"/>
  <c r="K49" i="4"/>
  <c r="C49" i="4"/>
  <c r="K70" i="4"/>
  <c r="H64" i="3"/>
  <c r="E5" i="14"/>
  <c r="I70" i="3"/>
  <c r="H9" i="10" s="1"/>
  <c r="H10" i="10" s="1"/>
  <c r="H11" i="10" s="1"/>
  <c r="D68" i="8"/>
  <c r="F56" i="8"/>
  <c r="F8" i="8"/>
  <c r="D70" i="3"/>
  <c r="C9" i="10" s="1"/>
  <c r="C16" i="10" s="1"/>
  <c r="C18" i="10" s="1"/>
  <c r="L97" i="5"/>
  <c r="E61" i="5"/>
  <c r="M43" i="3"/>
  <c r="G31" i="3"/>
  <c r="E64" i="3"/>
  <c r="M55" i="3"/>
  <c r="H16" i="4"/>
  <c r="K16" i="4"/>
  <c r="C16" i="4"/>
  <c r="F28" i="4"/>
  <c r="K28" i="4"/>
  <c r="D40" i="4"/>
  <c r="G40" i="4"/>
  <c r="D49" i="4"/>
  <c r="G49" i="4"/>
  <c r="D61" i="4"/>
  <c r="H70" i="4"/>
  <c r="G49" i="5"/>
  <c r="L40" i="4"/>
  <c r="L49" i="4"/>
  <c r="H62" i="6"/>
  <c r="E119" i="8"/>
  <c r="E95" i="8"/>
  <c r="E59" i="8"/>
  <c r="I79" i="5"/>
  <c r="H79" i="5"/>
  <c r="K142" i="5"/>
  <c r="M142" i="5"/>
  <c r="I142" i="5"/>
  <c r="G10" i="4"/>
  <c r="M10" i="4"/>
  <c r="F10" i="4"/>
  <c r="K10" i="4"/>
  <c r="I10" i="4"/>
  <c r="N9" i="4"/>
  <c r="N10" i="4" s="1"/>
  <c r="E10" i="4"/>
  <c r="D10" i="4"/>
  <c r="C10" i="4"/>
  <c r="L10" i="4"/>
  <c r="N21" i="4"/>
  <c r="N22" i="4" s="1"/>
  <c r="K22" i="4"/>
  <c r="C22" i="4"/>
  <c r="H22" i="4"/>
  <c r="M46" i="4"/>
  <c r="K46" i="4"/>
  <c r="J46" i="4"/>
  <c r="L46" i="4"/>
  <c r="E46" i="4"/>
  <c r="F46" i="4"/>
  <c r="C46" i="4"/>
  <c r="N54" i="4"/>
  <c r="N55" i="4" s="1"/>
  <c r="I55" i="4"/>
  <c r="L55" i="4"/>
  <c r="D55" i="4"/>
  <c r="K55" i="4"/>
  <c r="J55" i="4"/>
  <c r="H55" i="4"/>
  <c r="M55" i="4"/>
  <c r="C55" i="4"/>
  <c r="G55" i="4"/>
  <c r="J76" i="4"/>
  <c r="K76" i="4"/>
  <c r="I76" i="4"/>
  <c r="F76" i="4"/>
  <c r="E76" i="4"/>
  <c r="N53" i="7"/>
  <c r="L53" i="7"/>
  <c r="M53" i="7"/>
  <c r="N29" i="7"/>
  <c r="K29" i="7"/>
  <c r="L17" i="7"/>
  <c r="K17" i="7"/>
  <c r="M17" i="7"/>
  <c r="M5" i="7"/>
  <c r="L5" i="7"/>
  <c r="K5" i="7"/>
  <c r="C41" i="6"/>
  <c r="L71" i="3"/>
  <c r="M29" i="7"/>
  <c r="F55" i="4"/>
  <c r="H10" i="4"/>
  <c r="H46" i="4"/>
  <c r="N55" i="5"/>
  <c r="I55" i="5"/>
  <c r="N33" i="4"/>
  <c r="N34" i="4" s="1"/>
  <c r="G34" i="4"/>
  <c r="D34" i="4"/>
  <c r="E34" i="4"/>
  <c r="M34" i="4"/>
  <c r="J34" i="4"/>
  <c r="C34" i="4"/>
  <c r="H34" i="4"/>
  <c r="I34" i="4"/>
  <c r="L34" i="4"/>
  <c r="F34" i="4"/>
  <c r="M43" i="12"/>
  <c r="M10" i="14" s="1"/>
  <c r="M21" i="12"/>
  <c r="L133" i="6"/>
  <c r="M62" i="6"/>
  <c r="L62" i="6"/>
  <c r="N62" i="6"/>
  <c r="O61" i="6"/>
  <c r="O133" i="6" s="1"/>
  <c r="K25" i="8"/>
  <c r="K157" i="8" s="1"/>
  <c r="J8" i="9" s="1"/>
  <c r="O10" i="8"/>
  <c r="M65" i="7"/>
  <c r="K65" i="7"/>
  <c r="K41" i="7"/>
  <c r="L41" i="7"/>
  <c r="I157" i="8"/>
  <c r="H8" i="9" s="1"/>
  <c r="E115" i="6"/>
  <c r="N44" i="6"/>
  <c r="O127" i="8"/>
  <c r="D116" i="8"/>
  <c r="O103" i="8"/>
  <c r="M74" i="7"/>
  <c r="E74" i="7"/>
  <c r="M62" i="7"/>
  <c r="F50" i="7"/>
  <c r="E50" i="7"/>
  <c r="J50" i="7"/>
  <c r="J38" i="7"/>
  <c r="L26" i="7"/>
  <c r="K26" i="7"/>
  <c r="I26" i="7"/>
  <c r="E14" i="7"/>
  <c r="D83" i="7"/>
  <c r="C6" i="9" s="1"/>
  <c r="J14" i="7"/>
  <c r="J10" i="3"/>
  <c r="O124" i="8"/>
  <c r="C89" i="8"/>
  <c r="O88" i="8"/>
  <c r="O70" i="7"/>
  <c r="H71" i="7"/>
  <c r="M59" i="7"/>
  <c r="J59" i="7"/>
  <c r="I47" i="7"/>
  <c r="F47" i="7"/>
  <c r="H47" i="7"/>
  <c r="E35" i="7"/>
  <c r="D35" i="7"/>
  <c r="G35" i="7"/>
  <c r="M35" i="7"/>
  <c r="N23" i="7"/>
  <c r="C23" i="7"/>
  <c r="I23" i="7"/>
  <c r="O10" i="7"/>
  <c r="C11" i="7"/>
  <c r="N51" i="3"/>
  <c r="N52" i="3" s="1"/>
  <c r="C52" i="3"/>
  <c r="C70" i="3"/>
  <c r="K21" i="12"/>
  <c r="K43" i="12"/>
  <c r="K10" i="14" s="1"/>
  <c r="G21" i="12"/>
  <c r="G43" i="12"/>
  <c r="G10" i="14" s="1"/>
  <c r="N88" i="7"/>
  <c r="J71" i="7"/>
  <c r="L29" i="7"/>
  <c r="E55" i="4"/>
  <c r="F10" i="3"/>
  <c r="H55" i="5"/>
  <c r="K34" i="4"/>
  <c r="I19" i="3"/>
  <c r="F139" i="5"/>
  <c r="F130" i="5"/>
  <c r="F106" i="5"/>
  <c r="J94" i="5"/>
  <c r="C43" i="3"/>
  <c r="C31" i="3"/>
  <c r="K31" i="3"/>
  <c r="K130" i="5"/>
  <c r="J25" i="4"/>
  <c r="J37" i="4"/>
  <c r="G73" i="4"/>
  <c r="N72" i="4"/>
  <c r="J73" i="4"/>
  <c r="N73" i="4"/>
  <c r="E73" i="4"/>
  <c r="M73" i="4"/>
  <c r="H73" i="4"/>
  <c r="N44" i="8"/>
  <c r="O106" i="8"/>
  <c r="N42" i="3"/>
  <c r="D55" i="3"/>
  <c r="I55" i="3"/>
  <c r="N63" i="3"/>
  <c r="D64" i="3"/>
  <c r="G64" i="3"/>
  <c r="E58" i="5"/>
  <c r="F58" i="5"/>
  <c r="G70" i="5"/>
  <c r="F70" i="5"/>
  <c r="I82" i="5"/>
  <c r="F82" i="5"/>
  <c r="H94" i="5"/>
  <c r="G94" i="5"/>
  <c r="J118" i="5"/>
  <c r="L118" i="5"/>
  <c r="H118" i="5"/>
  <c r="E118" i="5"/>
  <c r="D139" i="5"/>
  <c r="L139" i="5"/>
  <c r="G139" i="5"/>
  <c r="N12" i="4"/>
  <c r="N13" i="4" s="1"/>
  <c r="G13" i="4"/>
  <c r="D13" i="4"/>
  <c r="E13" i="4"/>
  <c r="M13" i="4"/>
  <c r="J13" i="4"/>
  <c r="L13" i="4"/>
  <c r="N24" i="4"/>
  <c r="N25" i="4" s="1"/>
  <c r="L25" i="4"/>
  <c r="I25" i="4"/>
  <c r="F25" i="4"/>
  <c r="G25" i="4"/>
  <c r="D25" i="4"/>
  <c r="N36" i="4"/>
  <c r="N37" i="4" s="1"/>
  <c r="C37" i="4"/>
  <c r="K37" i="4"/>
  <c r="H37" i="4"/>
  <c r="I37" i="4"/>
  <c r="F37" i="4"/>
  <c r="N58" i="4"/>
  <c r="G58" i="4"/>
  <c r="N57" i="4"/>
  <c r="J58" i="4"/>
  <c r="E58" i="4"/>
  <c r="M58" i="4"/>
  <c r="H58" i="4"/>
  <c r="E67" i="4"/>
  <c r="I67" i="4"/>
  <c r="D67" i="4"/>
  <c r="H67" i="4"/>
  <c r="M67" i="4"/>
  <c r="I22" i="12"/>
  <c r="I5" i="14"/>
  <c r="M80" i="7"/>
  <c r="M85" i="7" s="1"/>
  <c r="L25" i="9" s="1"/>
  <c r="L26" i="9" s="1"/>
  <c r="L28" i="9" s="1"/>
  <c r="H80" i="7"/>
  <c r="H85" i="7" s="1"/>
  <c r="G25" i="9" s="1"/>
  <c r="G26" i="9" s="1"/>
  <c r="G28" i="9" s="1"/>
  <c r="D68" i="7"/>
  <c r="G68" i="7"/>
  <c r="E56" i="7"/>
  <c r="C56" i="7"/>
  <c r="C64" i="6"/>
  <c r="E64" i="6"/>
  <c r="E136" i="6" s="1"/>
  <c r="G64" i="6"/>
  <c r="G136" i="6" s="1"/>
  <c r="I64" i="6"/>
  <c r="I136" i="6" s="1"/>
  <c r="N67" i="3"/>
  <c r="F67" i="3"/>
  <c r="J64" i="6"/>
  <c r="J136" i="6" s="1"/>
  <c r="L64" i="6"/>
  <c r="L136" i="6" s="1"/>
  <c r="H67" i="3"/>
  <c r="K67" i="3"/>
  <c r="C67" i="3"/>
  <c r="B21" i="12"/>
  <c r="C88" i="7"/>
  <c r="K88" i="7"/>
  <c r="F118" i="5"/>
  <c r="H106" i="5"/>
  <c r="F94" i="5"/>
  <c r="I43" i="3"/>
  <c r="I31" i="3"/>
  <c r="M139" i="5"/>
  <c r="G130" i="5"/>
  <c r="G118" i="5"/>
  <c r="K94" i="5"/>
  <c r="L82" i="5"/>
  <c r="J70" i="5"/>
  <c r="H58" i="5"/>
  <c r="I64" i="3"/>
  <c r="E55" i="3"/>
  <c r="F13" i="4"/>
  <c r="K25" i="4"/>
  <c r="G37" i="4"/>
  <c r="K58" i="4"/>
  <c r="L37" i="4"/>
  <c r="G67" i="4"/>
  <c r="F46" i="3"/>
  <c r="M46" i="3"/>
  <c r="E46" i="3"/>
  <c r="N57" i="3"/>
  <c r="N58" i="3" s="1"/>
  <c r="C58" i="3"/>
  <c r="I16" i="5"/>
  <c r="E16" i="5"/>
  <c r="F16" i="5"/>
  <c r="I37" i="5"/>
  <c r="E37" i="5"/>
  <c r="G37" i="5"/>
  <c r="D37" i="5"/>
  <c r="D82" i="4"/>
  <c r="M82" i="4"/>
  <c r="C82" i="4"/>
  <c r="K82" i="4"/>
  <c r="G25" i="13"/>
  <c r="G44" i="8"/>
  <c r="J44" i="8"/>
  <c r="H53" i="7"/>
  <c r="K53" i="7"/>
  <c r="E53" i="7"/>
  <c r="O4" i="7"/>
  <c r="N27" i="3"/>
  <c r="N28" i="3" s="1"/>
  <c r="N64" i="6"/>
  <c r="N136" i="6" s="1"/>
  <c r="F134" i="8"/>
  <c r="F110" i="8"/>
  <c r="I14" i="6"/>
  <c r="N55" i="6"/>
  <c r="N127" i="6" s="1"/>
  <c r="I47" i="6"/>
  <c r="G11" i="7"/>
  <c r="E26" i="7"/>
  <c r="L47" i="7"/>
  <c r="E47" i="7"/>
  <c r="E59" i="7"/>
  <c r="C59" i="7"/>
  <c r="E71" i="7"/>
  <c r="C71" i="7"/>
  <c r="G23" i="7"/>
  <c r="D23" i="7"/>
  <c r="H35" i="7"/>
  <c r="F35" i="7"/>
  <c r="M38" i="7"/>
  <c r="L74" i="7"/>
  <c r="E11" i="7"/>
  <c r="K10" i="3"/>
  <c r="G10" i="3"/>
  <c r="I64" i="4"/>
  <c r="N69" i="4"/>
  <c r="N70" i="4" s="1"/>
  <c r="G70" i="4"/>
  <c r="D70" i="4"/>
  <c r="L70" i="4"/>
  <c r="I70" i="4"/>
  <c r="F70" i="4"/>
  <c r="E89" i="8"/>
  <c r="C115" i="6"/>
  <c r="J44" i="6"/>
  <c r="E44" i="6"/>
  <c r="D44" i="6"/>
  <c r="L44" i="6"/>
  <c r="G44" i="6"/>
  <c r="L21" i="12"/>
  <c r="L43" i="12"/>
  <c r="L10" i="14" s="1"/>
  <c r="D21" i="12"/>
  <c r="G88" i="7"/>
  <c r="J53" i="6"/>
  <c r="N51" i="4"/>
  <c r="N52" i="4" s="1"/>
  <c r="G52" i="4"/>
  <c r="D52" i="4"/>
  <c r="I52" i="4"/>
  <c r="F52" i="4"/>
  <c r="C10" i="3"/>
  <c r="N9" i="3"/>
  <c r="N10" i="3" s="1"/>
  <c r="G125" i="8"/>
  <c r="C125" i="8"/>
  <c r="I65" i="8"/>
  <c r="C65" i="8"/>
  <c r="C8" i="6"/>
  <c r="D41" i="6"/>
  <c r="O40" i="6"/>
  <c r="O112" i="6" s="1"/>
  <c r="O64" i="8"/>
  <c r="O148" i="8"/>
  <c r="O43" i="6"/>
  <c r="O115" i="6" s="1"/>
  <c r="O67" i="8"/>
  <c r="N11" i="7"/>
  <c r="F26" i="7"/>
  <c r="G47" i="7"/>
  <c r="D47" i="7"/>
  <c r="M47" i="7"/>
  <c r="F59" i="7"/>
  <c r="D59" i="7"/>
  <c r="F71" i="7"/>
  <c r="D71" i="7"/>
  <c r="L23" i="7"/>
  <c r="E23" i="7"/>
  <c r="C35" i="7"/>
  <c r="I35" i="7"/>
  <c r="E62" i="7"/>
  <c r="H11" i="7"/>
  <c r="F11" i="7"/>
  <c r="F64" i="4"/>
  <c r="M10" i="3"/>
  <c r="I10" i="3"/>
  <c r="E10" i="3"/>
  <c r="H52" i="4"/>
  <c r="C52" i="4"/>
  <c r="K44" i="6"/>
  <c r="H44" i="6"/>
  <c r="N45" i="4"/>
  <c r="N46" i="4" s="1"/>
  <c r="G46" i="4"/>
  <c r="D46" i="4"/>
  <c r="I46" i="4"/>
  <c r="N82" i="4"/>
  <c r="E82" i="4"/>
  <c r="I82" i="4"/>
  <c r="L82" i="4"/>
  <c r="F82" i="4"/>
  <c r="J82" i="4"/>
  <c r="F133" i="6"/>
  <c r="H134" i="6" s="1"/>
  <c r="G62" i="6"/>
  <c r="F62" i="6"/>
  <c r="I143" i="8"/>
  <c r="E143" i="8"/>
  <c r="I71" i="8"/>
  <c r="E71" i="8"/>
  <c r="L11" i="8"/>
  <c r="E11" i="8"/>
  <c r="O52" i="7"/>
  <c r="O28" i="7"/>
  <c r="N5" i="7"/>
  <c r="N63" i="4"/>
  <c r="D64" i="4"/>
  <c r="C64" i="4"/>
  <c r="K64" i="4"/>
  <c r="L64" i="4"/>
  <c r="E64" i="4"/>
  <c r="H140" i="8"/>
  <c r="D140" i="8"/>
  <c r="H92" i="8"/>
  <c r="D92" i="8"/>
  <c r="O13" i="7"/>
  <c r="E53" i="8"/>
  <c r="C53" i="8"/>
  <c r="C38" i="8"/>
  <c r="K38" i="8"/>
  <c r="C97" i="6"/>
  <c r="C98" i="6" s="1"/>
  <c r="O55" i="8"/>
  <c r="O76" i="8"/>
  <c r="O4" i="8"/>
  <c r="F50" i="6"/>
  <c r="I11" i="7"/>
  <c r="M14" i="7"/>
  <c r="C47" i="7"/>
  <c r="I59" i="7"/>
  <c r="G59" i="7"/>
  <c r="I71" i="7"/>
  <c r="G71" i="7"/>
  <c r="M71" i="7"/>
  <c r="H23" i="7"/>
  <c r="F23" i="7"/>
  <c r="L35" i="7"/>
  <c r="D11" i="7"/>
  <c r="L10" i="3"/>
  <c r="H10" i="3"/>
  <c r="D10" i="3"/>
  <c r="M52" i="4"/>
  <c r="I44" i="6"/>
  <c r="F44" i="6"/>
  <c r="O47" i="3"/>
  <c r="M44" i="6"/>
  <c r="N45" i="3"/>
  <c r="L46" i="3"/>
  <c r="D46" i="3"/>
  <c r="J46" i="3"/>
  <c r="N76" i="4"/>
  <c r="C76" i="4"/>
  <c r="G76" i="4"/>
  <c r="L76" i="4"/>
  <c r="D76" i="4"/>
  <c r="H76" i="4"/>
  <c r="M76" i="4"/>
  <c r="N8" i="8"/>
  <c r="N38" i="8"/>
  <c r="N92" i="8"/>
  <c r="O112" i="8"/>
  <c r="D149" i="8"/>
  <c r="D56" i="8"/>
  <c r="D65" i="8"/>
  <c r="G92" i="8"/>
  <c r="O55" i="7"/>
  <c r="O31" i="7"/>
  <c r="L55" i="3"/>
  <c r="J64" i="3"/>
  <c r="C10" i="5"/>
  <c r="K10" i="5"/>
  <c r="G22" i="5"/>
  <c r="G43" i="5"/>
  <c r="E52" i="5"/>
  <c r="G49" i="3"/>
  <c r="O136" i="8"/>
  <c r="O100" i="8"/>
  <c r="O52" i="8"/>
  <c r="O37" i="8"/>
  <c r="N5" i="8"/>
  <c r="O109" i="8"/>
  <c r="H101" i="8"/>
  <c r="G131" i="8"/>
  <c r="I119" i="8"/>
  <c r="I107" i="8"/>
  <c r="I95" i="8"/>
  <c r="H83" i="8"/>
  <c r="M71" i="8"/>
  <c r="J59" i="8"/>
  <c r="I44" i="8"/>
  <c r="K140" i="8"/>
  <c r="L128" i="8"/>
  <c r="H116" i="8"/>
  <c r="E104" i="8"/>
  <c r="F92" i="8"/>
  <c r="F80" i="8"/>
  <c r="F68" i="8"/>
  <c r="I56" i="8"/>
  <c r="E41" i="8"/>
  <c r="F20" i="8"/>
  <c r="H8" i="8"/>
  <c r="G149" i="8"/>
  <c r="E137" i="8"/>
  <c r="H125" i="8"/>
  <c r="E113" i="8"/>
  <c r="D101" i="8"/>
  <c r="J89" i="8"/>
  <c r="H77" i="8"/>
  <c r="K65" i="8"/>
  <c r="F38" i="8"/>
  <c r="E17" i="8"/>
  <c r="F146" i="8"/>
  <c r="F122" i="8"/>
  <c r="F98" i="8"/>
  <c r="F74" i="8"/>
  <c r="L64" i="3"/>
  <c r="E10" i="5"/>
  <c r="M10" i="5"/>
  <c r="N22" i="5"/>
  <c r="N43" i="5"/>
  <c r="C64" i="5"/>
  <c r="M76" i="5"/>
  <c r="N15" i="3"/>
  <c r="N16" i="3" s="1"/>
  <c r="E47" i="8"/>
  <c r="N17" i="7"/>
  <c r="O40" i="7"/>
  <c r="J47" i="7"/>
  <c r="J35" i="7"/>
  <c r="I68" i="7"/>
  <c r="I56" i="7"/>
  <c r="N54" i="3"/>
  <c r="N55" i="3" s="1"/>
  <c r="E44" i="8"/>
  <c r="D35" i="8"/>
  <c r="C18" i="1"/>
  <c r="F17" i="1"/>
  <c r="F18" i="1" s="1"/>
  <c r="D23" i="1"/>
  <c r="E17" i="1"/>
  <c r="E18" i="1" s="1"/>
  <c r="H13" i="1"/>
  <c r="H15" i="1"/>
  <c r="I29" i="1"/>
  <c r="I36" i="1" s="1"/>
  <c r="G16" i="1"/>
  <c r="H16" i="1" s="1"/>
  <c r="G36" i="1"/>
  <c r="I26" i="1"/>
  <c r="M145" i="5"/>
  <c r="G133" i="5"/>
  <c r="I109" i="5"/>
  <c r="C85" i="5"/>
  <c r="L73" i="5"/>
  <c r="L61" i="5"/>
  <c r="L49" i="5"/>
  <c r="L85" i="5"/>
  <c r="J121" i="5"/>
  <c r="F97" i="5"/>
  <c r="N97" i="5"/>
  <c r="I61" i="5"/>
  <c r="O7" i="8"/>
  <c r="E142" i="5"/>
  <c r="K133" i="5"/>
  <c r="K109" i="5"/>
  <c r="H145" i="5"/>
  <c r="I85" i="5"/>
  <c r="J73" i="5"/>
  <c r="J61" i="5"/>
  <c r="J49" i="5"/>
  <c r="F46" i="5"/>
  <c r="L19" i="5"/>
  <c r="H13" i="5"/>
  <c r="J85" i="5"/>
  <c r="N19" i="5"/>
  <c r="C25" i="5"/>
  <c r="E49" i="5"/>
  <c r="M49" i="5"/>
  <c r="G61" i="5"/>
  <c r="N73" i="5"/>
  <c r="L109" i="5"/>
  <c r="J142" i="5"/>
  <c r="D125" i="8"/>
  <c r="E128" i="8"/>
  <c r="E20" i="8"/>
  <c r="F140" i="8"/>
  <c r="F116" i="8"/>
  <c r="G101" i="8"/>
  <c r="G56" i="8"/>
  <c r="H149" i="8"/>
  <c r="H107" i="8"/>
  <c r="H56" i="8"/>
  <c r="I149" i="8"/>
  <c r="I17" i="8"/>
  <c r="K107" i="8"/>
  <c r="L80" i="8"/>
  <c r="L149" i="8"/>
  <c r="L137" i="8"/>
  <c r="L125" i="8"/>
  <c r="L113" i="8"/>
  <c r="L101" i="8"/>
  <c r="L89" i="8"/>
  <c r="L77" i="8"/>
  <c r="L38" i="8"/>
  <c r="L5" i="8"/>
  <c r="I38" i="8"/>
  <c r="J133" i="5"/>
  <c r="F121" i="5"/>
  <c r="N121" i="5"/>
  <c r="J109" i="5"/>
  <c r="J97" i="5"/>
  <c r="N61" i="5"/>
  <c r="O91" i="8"/>
  <c r="E145" i="5"/>
  <c r="E133" i="5"/>
  <c r="E109" i="5"/>
  <c r="E85" i="5"/>
  <c r="F73" i="5"/>
  <c r="F61" i="5"/>
  <c r="F49" i="5"/>
  <c r="H40" i="5"/>
  <c r="N85" i="5"/>
  <c r="F85" i="5"/>
  <c r="N49" i="5"/>
  <c r="I49" i="5"/>
  <c r="I73" i="5"/>
  <c r="D77" i="8"/>
  <c r="D38" i="8"/>
  <c r="E80" i="8"/>
  <c r="E65" i="8"/>
  <c r="F128" i="8"/>
  <c r="F104" i="8"/>
  <c r="F44" i="8"/>
  <c r="G116" i="8"/>
  <c r="G83" i="8"/>
  <c r="G38" i="8"/>
  <c r="H38" i="8"/>
  <c r="J137" i="8"/>
  <c r="J8" i="8"/>
  <c r="K85" i="5"/>
  <c r="D73" i="5"/>
  <c r="D49" i="5"/>
  <c r="D85" i="5"/>
  <c r="C49" i="5"/>
  <c r="N68" i="8"/>
  <c r="O82" i="8"/>
  <c r="O130" i="8"/>
  <c r="G140" i="8"/>
  <c r="G107" i="8"/>
  <c r="G77" i="8"/>
  <c r="G8" i="8"/>
  <c r="I131" i="8"/>
  <c r="I83" i="8"/>
  <c r="J23" i="8"/>
  <c r="L104" i="8"/>
  <c r="H68" i="8"/>
  <c r="K56" i="8"/>
  <c r="H20" i="8"/>
  <c r="J113" i="8"/>
  <c r="H41" i="6"/>
  <c r="E41" i="6"/>
  <c r="D100" i="6"/>
  <c r="E121" i="6"/>
  <c r="G50" i="6"/>
  <c r="I16" i="3"/>
  <c r="I84" i="6"/>
  <c r="I41" i="6"/>
  <c r="C127" i="6"/>
  <c r="C128" i="6" s="1"/>
  <c r="C16" i="3"/>
  <c r="K16" i="3"/>
  <c r="J16" i="3"/>
  <c r="E49" i="3"/>
  <c r="F53" i="6"/>
  <c r="G16" i="3"/>
  <c r="F13" i="3"/>
  <c r="D61" i="3"/>
  <c r="I88" i="5"/>
  <c r="F76" i="5"/>
  <c r="F64" i="5"/>
  <c r="F52" i="5"/>
  <c r="F40" i="5"/>
  <c r="J19" i="5"/>
  <c r="C40" i="5"/>
  <c r="I52" i="5"/>
  <c r="N76" i="5"/>
  <c r="F103" i="5"/>
  <c r="C103" i="5"/>
  <c r="E115" i="5"/>
  <c r="G115" i="5"/>
  <c r="D127" i="5"/>
  <c r="J127" i="5"/>
  <c r="H142" i="5"/>
  <c r="D142" i="5"/>
  <c r="L142" i="5"/>
  <c r="H22" i="12"/>
  <c r="H5" i="14"/>
  <c r="J149" i="8"/>
  <c r="F149" i="8"/>
  <c r="E149" i="8"/>
  <c r="F137" i="8"/>
  <c r="D137" i="8"/>
  <c r="I137" i="8"/>
  <c r="H137" i="8"/>
  <c r="G137" i="8"/>
  <c r="I125" i="8"/>
  <c r="F125" i="8"/>
  <c r="E125" i="8"/>
  <c r="J125" i="8"/>
  <c r="H113" i="8"/>
  <c r="G113" i="8"/>
  <c r="F113" i="8"/>
  <c r="I113" i="8"/>
  <c r="D113" i="8"/>
  <c r="J101" i="8"/>
  <c r="I101" i="8"/>
  <c r="F101" i="8"/>
  <c r="E101" i="8"/>
  <c r="F89" i="8"/>
  <c r="D89" i="8"/>
  <c r="I89" i="8"/>
  <c r="H89" i="8"/>
  <c r="G89" i="8"/>
  <c r="I77" i="8"/>
  <c r="F77" i="8"/>
  <c r="E77" i="8"/>
  <c r="J77" i="8"/>
  <c r="J65" i="8"/>
  <c r="H65" i="8"/>
  <c r="G65" i="8"/>
  <c r="F65" i="8"/>
  <c r="K53" i="8"/>
  <c r="J53" i="8"/>
  <c r="I53" i="8"/>
  <c r="D53" i="8"/>
  <c r="H53" i="8"/>
  <c r="G53" i="8"/>
  <c r="F53" i="8"/>
  <c r="E38" i="8"/>
  <c r="J38" i="8"/>
  <c r="I146" i="8"/>
  <c r="C19" i="5"/>
  <c r="H19" i="5"/>
  <c r="I19" i="5"/>
  <c r="I64" i="5"/>
  <c r="N64" i="5"/>
  <c r="M64" i="5"/>
  <c r="E64" i="5"/>
  <c r="F88" i="5"/>
  <c r="D88" i="5"/>
  <c r="J88" i="5"/>
  <c r="G142" i="5"/>
  <c r="I133" i="5"/>
  <c r="K88" i="5"/>
  <c r="L76" i="5"/>
  <c r="D76" i="5"/>
  <c r="L64" i="5"/>
  <c r="D64" i="5"/>
  <c r="L52" i="5"/>
  <c r="L40" i="5"/>
  <c r="D40" i="5"/>
  <c r="F19" i="5"/>
  <c r="K19" i="5"/>
  <c r="K64" i="5"/>
  <c r="D115" i="5"/>
  <c r="F127" i="5"/>
  <c r="C142" i="5"/>
  <c r="I58" i="5"/>
  <c r="N58" i="5"/>
  <c r="K70" i="5"/>
  <c r="I70" i="5"/>
  <c r="N70" i="5"/>
  <c r="M82" i="5"/>
  <c r="K82" i="5"/>
  <c r="C82" i="5"/>
  <c r="L94" i="5"/>
  <c r="D94" i="5"/>
  <c r="G68" i="8"/>
  <c r="G20" i="8"/>
  <c r="H131" i="8"/>
  <c r="G40" i="5"/>
  <c r="E40" i="5"/>
  <c r="K40" i="5"/>
  <c r="N40" i="5"/>
  <c r="M52" i="5"/>
  <c r="N52" i="5"/>
  <c r="G52" i="5"/>
  <c r="K76" i="5"/>
  <c r="C76" i="5"/>
  <c r="G76" i="5"/>
  <c r="L88" i="5"/>
  <c r="N88" i="5"/>
  <c r="E88" i="5"/>
  <c r="J76" i="5"/>
  <c r="J64" i="5"/>
  <c r="J52" i="5"/>
  <c r="J40" i="5"/>
  <c r="D19" i="5"/>
  <c r="M40" i="5"/>
  <c r="I76" i="5"/>
  <c r="E97" i="5"/>
  <c r="K97" i="5"/>
  <c r="C97" i="5"/>
  <c r="G97" i="5"/>
  <c r="I121" i="5"/>
  <c r="K121" i="5"/>
  <c r="H143" i="8"/>
  <c r="G143" i="8"/>
  <c r="F143" i="8"/>
  <c r="D143" i="8"/>
  <c r="F131" i="8"/>
  <c r="E131" i="8"/>
  <c r="M119" i="8"/>
  <c r="K119" i="8"/>
  <c r="D119" i="8"/>
  <c r="H119" i="8"/>
  <c r="G119" i="8"/>
  <c r="F119" i="8"/>
  <c r="E107" i="8"/>
  <c r="F107" i="8"/>
  <c r="H95" i="8"/>
  <c r="G95" i="8"/>
  <c r="F95" i="8"/>
  <c r="D95" i="8"/>
  <c r="F83" i="8"/>
  <c r="E83" i="8"/>
  <c r="D71" i="8"/>
  <c r="H71" i="8"/>
  <c r="G71" i="8"/>
  <c r="F71" i="8"/>
  <c r="H59" i="8"/>
  <c r="G59" i="8"/>
  <c r="F59" i="8"/>
  <c r="I59" i="8"/>
  <c r="D59" i="8"/>
  <c r="I23" i="8"/>
  <c r="M23" i="8"/>
  <c r="H23" i="8"/>
  <c r="G23" i="8"/>
  <c r="F23" i="8"/>
  <c r="E23" i="8"/>
  <c r="H11" i="8"/>
  <c r="G11" i="8"/>
  <c r="F11" i="8"/>
  <c r="I11" i="8"/>
  <c r="L140" i="8"/>
  <c r="E140" i="8"/>
  <c r="H128" i="8"/>
  <c r="G128" i="8"/>
  <c r="D128" i="8"/>
  <c r="L116" i="8"/>
  <c r="E116" i="8"/>
  <c r="D104" i="8"/>
  <c r="H104" i="8"/>
  <c r="G104" i="8"/>
  <c r="L92" i="8"/>
  <c r="E92" i="8"/>
  <c r="K92" i="8"/>
  <c r="H80" i="8"/>
  <c r="G80" i="8"/>
  <c r="D80" i="8"/>
  <c r="L68" i="8"/>
  <c r="E68" i="8"/>
  <c r="E56" i="8"/>
  <c r="H41" i="8"/>
  <c r="G41" i="8"/>
  <c r="F41" i="8"/>
  <c r="I41" i="8"/>
  <c r="D41" i="8"/>
  <c r="C41" i="8"/>
  <c r="J20" i="8"/>
  <c r="K20" i="8"/>
  <c r="D20" i="8"/>
  <c r="C20" i="8"/>
  <c r="D8" i="8"/>
  <c r="E8" i="8"/>
  <c r="N23" i="8"/>
  <c r="N56" i="8"/>
  <c r="O70" i="8"/>
  <c r="N104" i="8"/>
  <c r="O118" i="8"/>
  <c r="E106" i="5"/>
  <c r="H139" i="5"/>
  <c r="N11" i="8"/>
  <c r="N74" i="8"/>
  <c r="O94" i="8"/>
  <c r="O142" i="8"/>
  <c r="M95" i="8"/>
  <c r="M44" i="8"/>
  <c r="L5" i="14"/>
  <c r="M55" i="5"/>
  <c r="E55" i="5"/>
  <c r="D55" i="5"/>
  <c r="L55" i="5"/>
  <c r="K55" i="5"/>
  <c r="C55" i="5"/>
  <c r="F55" i="5"/>
  <c r="G55" i="5"/>
  <c r="J55" i="5"/>
  <c r="G67" i="5"/>
  <c r="D67" i="5"/>
  <c r="L67" i="5"/>
  <c r="C67" i="5"/>
  <c r="F67" i="5"/>
  <c r="K67" i="5"/>
  <c r="J67" i="5"/>
  <c r="N79" i="5"/>
  <c r="D79" i="5"/>
  <c r="L79" i="5"/>
  <c r="F79" i="5"/>
  <c r="M79" i="5"/>
  <c r="E79" i="5"/>
  <c r="J79" i="5"/>
  <c r="F91" i="5"/>
  <c r="C91" i="5"/>
  <c r="H91" i="5"/>
  <c r="M91" i="5"/>
  <c r="D91" i="5"/>
  <c r="I91" i="5"/>
  <c r="G91" i="5"/>
  <c r="L91" i="5"/>
  <c r="C100" i="5"/>
  <c r="G100" i="5"/>
  <c r="F100" i="5"/>
  <c r="L100" i="5"/>
  <c r="M100" i="5"/>
  <c r="D100" i="5"/>
  <c r="I100" i="5"/>
  <c r="J100" i="5"/>
  <c r="E100" i="5"/>
  <c r="I112" i="5"/>
  <c r="L112" i="5"/>
  <c r="K112" i="5"/>
  <c r="F112" i="5"/>
  <c r="G112" i="5"/>
  <c r="C124" i="5"/>
  <c r="M124" i="5"/>
  <c r="E124" i="5"/>
  <c r="J124" i="5"/>
  <c r="K124" i="5"/>
  <c r="F124" i="5"/>
  <c r="G124" i="5"/>
  <c r="N124" i="5"/>
  <c r="K136" i="5"/>
  <c r="I136" i="5"/>
  <c r="M136" i="5"/>
  <c r="E136" i="5"/>
  <c r="F136" i="5"/>
  <c r="D136" i="5"/>
  <c r="N136" i="5"/>
  <c r="I13" i="5"/>
  <c r="D13" i="5"/>
  <c r="L13" i="5"/>
  <c r="G13" i="5"/>
  <c r="F13" i="5"/>
  <c r="K13" i="5"/>
  <c r="N13" i="5"/>
  <c r="J13" i="5"/>
  <c r="I25" i="5"/>
  <c r="D25" i="5"/>
  <c r="L25" i="5"/>
  <c r="G25" i="5"/>
  <c r="F25" i="5"/>
  <c r="K25" i="5"/>
  <c r="N25" i="5"/>
  <c r="J25" i="5"/>
  <c r="K46" i="5"/>
  <c r="N46" i="5"/>
  <c r="J46" i="5"/>
  <c r="I46" i="5"/>
  <c r="D46" i="5"/>
  <c r="L46" i="5"/>
  <c r="C46" i="5"/>
  <c r="H46" i="5"/>
  <c r="F22" i="12"/>
  <c r="F5" i="14"/>
  <c r="L146" i="8"/>
  <c r="K146" i="8"/>
  <c r="E146" i="8"/>
  <c r="D146" i="8"/>
  <c r="O145" i="8"/>
  <c r="M146" i="8"/>
  <c r="J146" i="8"/>
  <c r="M134" i="8"/>
  <c r="L134" i="8"/>
  <c r="E134" i="8"/>
  <c r="D134" i="8"/>
  <c r="J134" i="8"/>
  <c r="I134" i="8"/>
  <c r="L122" i="8"/>
  <c r="E122" i="8"/>
  <c r="D122" i="8"/>
  <c r="I122" i="8"/>
  <c r="O121" i="8"/>
  <c r="K122" i="8"/>
  <c r="J122" i="8"/>
  <c r="M110" i="8"/>
  <c r="L110" i="8"/>
  <c r="K110" i="8"/>
  <c r="E110" i="8"/>
  <c r="D110" i="8"/>
  <c r="I110" i="8"/>
  <c r="J110" i="8"/>
  <c r="L98" i="8"/>
  <c r="K98" i="8"/>
  <c r="M98" i="8"/>
  <c r="E98" i="8"/>
  <c r="D98" i="8"/>
  <c r="O97" i="8"/>
  <c r="J98" i="8"/>
  <c r="L86" i="8"/>
  <c r="M86" i="8"/>
  <c r="K86" i="8"/>
  <c r="E86" i="8"/>
  <c r="D86" i="8"/>
  <c r="J86" i="8"/>
  <c r="I86" i="8"/>
  <c r="L74" i="8"/>
  <c r="E74" i="8"/>
  <c r="D74" i="8"/>
  <c r="I74" i="8"/>
  <c r="O73" i="8"/>
  <c r="K74" i="8"/>
  <c r="J74" i="8"/>
  <c r="E62" i="8"/>
  <c r="D62" i="8"/>
  <c r="L62" i="8"/>
  <c r="I62" i="8"/>
  <c r="H62" i="8"/>
  <c r="G62" i="8"/>
  <c r="F62" i="8"/>
  <c r="C62" i="8"/>
  <c r="J62" i="8"/>
  <c r="N62" i="8"/>
  <c r="E50" i="8"/>
  <c r="D50" i="8"/>
  <c r="J50" i="8"/>
  <c r="I50" i="8"/>
  <c r="H50" i="8"/>
  <c r="G50" i="8"/>
  <c r="F50" i="8"/>
  <c r="C50" i="8"/>
  <c r="L50" i="8"/>
  <c r="B22" i="12"/>
  <c r="K32" i="8"/>
  <c r="B5" i="14"/>
  <c r="M32" i="8"/>
  <c r="J32" i="8"/>
  <c r="E32" i="8"/>
  <c r="D32" i="8"/>
  <c r="I32" i="8"/>
  <c r="C32" i="8"/>
  <c r="H32" i="8"/>
  <c r="G32" i="8"/>
  <c r="F32" i="8"/>
  <c r="L32" i="8"/>
  <c r="N32" i="8"/>
  <c r="J14" i="8"/>
  <c r="D14" i="8"/>
  <c r="K14" i="8"/>
  <c r="L14" i="8"/>
  <c r="H14" i="8"/>
  <c r="G14" i="8"/>
  <c r="F14" i="8"/>
  <c r="E14" i="8"/>
  <c r="C14" i="8"/>
  <c r="I14" i="8"/>
  <c r="M35" i="8"/>
  <c r="J35" i="8"/>
  <c r="K35" i="8"/>
  <c r="L35" i="8"/>
  <c r="I35" i="8"/>
  <c r="H35" i="8"/>
  <c r="G35" i="8"/>
  <c r="F35" i="8"/>
  <c r="O34" i="8"/>
  <c r="H100" i="5"/>
  <c r="C154" i="5"/>
  <c r="F154" i="5"/>
  <c r="G47" i="8"/>
  <c r="F47" i="8"/>
  <c r="N20" i="8"/>
  <c r="N25" i="8"/>
  <c r="O19" i="8"/>
  <c r="N80" i="8"/>
  <c r="O79" i="8"/>
  <c r="N134" i="8"/>
  <c r="N140" i="8"/>
  <c r="O139" i="8"/>
  <c r="H146" i="8"/>
  <c r="H134" i="8"/>
  <c r="H122" i="8"/>
  <c r="H110" i="8"/>
  <c r="H98" i="8"/>
  <c r="H86" i="8"/>
  <c r="H74" i="8"/>
  <c r="I98" i="8"/>
  <c r="K134" i="8"/>
  <c r="K91" i="5"/>
  <c r="D112" i="5"/>
  <c r="I145" i="5"/>
  <c r="N145" i="5"/>
  <c r="G145" i="5"/>
  <c r="D145" i="5"/>
  <c r="J145" i="5"/>
  <c r="K145" i="5"/>
  <c r="L145" i="5"/>
  <c r="N154" i="5"/>
  <c r="G146" i="8"/>
  <c r="G134" i="8"/>
  <c r="G122" i="8"/>
  <c r="G110" i="8"/>
  <c r="G98" i="8"/>
  <c r="G86" i="8"/>
  <c r="G74" i="8"/>
  <c r="F37" i="5"/>
  <c r="H16" i="5"/>
  <c r="C16" i="5"/>
  <c r="K16" i="5"/>
  <c r="C37" i="5"/>
  <c r="K37" i="5"/>
  <c r="M58" i="5"/>
  <c r="E70" i="5"/>
  <c r="M70" i="5"/>
  <c r="G82" i="5"/>
  <c r="H103" i="5"/>
  <c r="J115" i="5"/>
  <c r="L127" i="5"/>
  <c r="N142" i="5"/>
  <c r="F142" i="5"/>
  <c r="F148" i="5"/>
  <c r="N86" i="8"/>
  <c r="N98" i="8"/>
  <c r="N14" i="8"/>
  <c r="N35" i="8"/>
  <c r="N50" i="8"/>
  <c r="O61" i="8"/>
  <c r="N122" i="8"/>
  <c r="G22" i="12"/>
  <c r="G5" i="14"/>
  <c r="C22" i="12"/>
  <c r="C5" i="14"/>
  <c r="J157" i="8"/>
  <c r="I8" i="9" s="1"/>
  <c r="H37" i="5"/>
  <c r="J16" i="5"/>
  <c r="N16" i="5"/>
  <c r="N37" i="5"/>
  <c r="C70" i="5"/>
  <c r="E82" i="5"/>
  <c r="N103" i="5"/>
  <c r="L115" i="5"/>
  <c r="N127" i="5"/>
  <c r="N148" i="5"/>
  <c r="N110" i="8"/>
  <c r="M65" i="8"/>
  <c r="L65" i="8"/>
  <c r="M53" i="8"/>
  <c r="L53" i="8"/>
  <c r="J143" i="8"/>
  <c r="M143" i="8"/>
  <c r="L143" i="8"/>
  <c r="K143" i="8"/>
  <c r="K131" i="8"/>
  <c r="J131" i="8"/>
  <c r="M131" i="8"/>
  <c r="L131" i="8"/>
  <c r="J119" i="8"/>
  <c r="L119" i="8"/>
  <c r="J107" i="8"/>
  <c r="L107" i="8"/>
  <c r="J95" i="8"/>
  <c r="L95" i="8"/>
  <c r="K95" i="8"/>
  <c r="M83" i="8"/>
  <c r="K83" i="8"/>
  <c r="J83" i="8"/>
  <c r="L83" i="8"/>
  <c r="J71" i="8"/>
  <c r="K71" i="8"/>
  <c r="L71" i="8"/>
  <c r="M59" i="8"/>
  <c r="L59" i="8"/>
  <c r="K59" i="8"/>
  <c r="K44" i="8"/>
  <c r="L44" i="8"/>
  <c r="L23" i="8"/>
  <c r="K23" i="8"/>
  <c r="K11" i="8"/>
  <c r="M11" i="8"/>
  <c r="J11" i="8"/>
  <c r="I140" i="8"/>
  <c r="J140" i="8"/>
  <c r="I128" i="8"/>
  <c r="K128" i="8"/>
  <c r="J128" i="8"/>
  <c r="K116" i="8"/>
  <c r="I116" i="8"/>
  <c r="M116" i="8"/>
  <c r="J116" i="8"/>
  <c r="I104" i="8"/>
  <c r="K104" i="8"/>
  <c r="J104" i="8"/>
  <c r="I92" i="8"/>
  <c r="J92" i="8"/>
  <c r="I80" i="8"/>
  <c r="M80" i="8"/>
  <c r="K80" i="8"/>
  <c r="J80" i="8"/>
  <c r="K68" i="8"/>
  <c r="I68" i="8"/>
  <c r="M68" i="8"/>
  <c r="J68" i="8"/>
  <c r="M41" i="8"/>
  <c r="K41" i="8"/>
  <c r="L20" i="8"/>
  <c r="I20" i="8"/>
  <c r="I8" i="8"/>
  <c r="L8" i="8"/>
  <c r="K8" i="8"/>
  <c r="D22" i="12"/>
  <c r="D5" i="14"/>
  <c r="N146" i="8"/>
  <c r="K5" i="14"/>
  <c r="M140" i="8"/>
  <c r="M128" i="8"/>
  <c r="M104" i="8"/>
  <c r="M92" i="8"/>
  <c r="M56" i="8"/>
  <c r="K149" i="8"/>
  <c r="K137" i="8"/>
  <c r="K125" i="8"/>
  <c r="K113" i="8"/>
  <c r="K101" i="8"/>
  <c r="K89" i="8"/>
  <c r="K77" i="8"/>
  <c r="M122" i="8"/>
  <c r="M74" i="8"/>
  <c r="M107" i="8"/>
  <c r="C94" i="5"/>
  <c r="J154" i="5"/>
  <c r="C139" i="5"/>
  <c r="J103" i="5"/>
  <c r="K115" i="5"/>
  <c r="F115" i="5"/>
  <c r="N118" i="5"/>
  <c r="D118" i="5"/>
  <c r="G121" i="5"/>
  <c r="H124" i="5"/>
  <c r="C118" i="5"/>
  <c r="I151" i="5"/>
  <c r="D47" i="8"/>
  <c r="M38" i="8"/>
  <c r="N91" i="5"/>
  <c r="J91" i="5"/>
  <c r="M97" i="5"/>
  <c r="N115" i="5"/>
  <c r="H115" i="5"/>
  <c r="C115" i="5"/>
  <c r="M121" i="5"/>
  <c r="D121" i="5"/>
  <c r="C121" i="5"/>
  <c r="M14" i="8"/>
  <c r="K62" i="8"/>
  <c r="K50" i="8"/>
  <c r="H25" i="8"/>
  <c r="H157" i="8" s="1"/>
  <c r="G8" i="9" s="1"/>
  <c r="F25" i="8"/>
  <c r="F157" i="8" s="1"/>
  <c r="E8" i="9" s="1"/>
  <c r="J17" i="8"/>
  <c r="M5" i="8"/>
  <c r="O49" i="8"/>
  <c r="J22" i="12"/>
  <c r="L56" i="8"/>
  <c r="L41" i="8"/>
  <c r="M149" i="8"/>
  <c r="M137" i="8"/>
  <c r="M125" i="8"/>
  <c r="M113" i="8"/>
  <c r="M101" i="8"/>
  <c r="M89" i="8"/>
  <c r="M77" i="8"/>
  <c r="M62" i="8"/>
  <c r="M50" i="8"/>
  <c r="M20" i="8"/>
  <c r="N17" i="8"/>
  <c r="F17" i="8"/>
  <c r="L17" i="8"/>
  <c r="M17" i="8"/>
  <c r="G17" i="8"/>
  <c r="G25" i="8"/>
  <c r="G157" i="8" s="1"/>
  <c r="F8" i="9" s="1"/>
  <c r="O16" i="8"/>
  <c r="D17" i="8"/>
  <c r="H17" i="8"/>
  <c r="K17" i="8"/>
  <c r="E25" i="8"/>
  <c r="E157" i="8" s="1"/>
  <c r="D8" i="9" s="1"/>
  <c r="D25" i="8"/>
  <c r="D157" i="8" s="1"/>
  <c r="C8" i="9" s="1"/>
  <c r="M8" i="8"/>
  <c r="E5" i="8"/>
  <c r="G5" i="8"/>
  <c r="I5" i="8"/>
  <c r="J5" i="8"/>
  <c r="D5" i="8"/>
  <c r="F5" i="8"/>
  <c r="H5" i="8"/>
  <c r="K5" i="8"/>
  <c r="C25" i="8"/>
  <c r="C157" i="8" s="1"/>
  <c r="B8" i="9" s="1"/>
  <c r="O89" i="4"/>
  <c r="N71" i="7"/>
  <c r="N59" i="7"/>
  <c r="M23" i="7"/>
  <c r="M11" i="7"/>
  <c r="O79" i="7"/>
  <c r="N44" i="7"/>
  <c r="N32" i="7"/>
  <c r="N20" i="7"/>
  <c r="O7" i="7"/>
  <c r="K14" i="7"/>
  <c r="M26" i="7"/>
  <c r="H14" i="7"/>
  <c r="E38" i="7"/>
  <c r="F74" i="7"/>
  <c r="F62" i="7"/>
  <c r="D38" i="7"/>
  <c r="J26" i="7"/>
  <c r="D14" i="7"/>
  <c r="N26" i="7"/>
  <c r="D26" i="7"/>
  <c r="H26" i="7"/>
  <c r="K8" i="7"/>
  <c r="I14" i="7"/>
  <c r="F14" i="7"/>
  <c r="L14" i="7"/>
  <c r="I20" i="7"/>
  <c r="L20" i="7"/>
  <c r="N41" i="7"/>
  <c r="K47" i="7"/>
  <c r="N47" i="7"/>
  <c r="L59" i="7"/>
  <c r="L71" i="7"/>
  <c r="K23" i="7"/>
  <c r="I32" i="7"/>
  <c r="L32" i="7"/>
  <c r="K35" i="7"/>
  <c r="N35" i="7"/>
  <c r="I38" i="7"/>
  <c r="F38" i="7"/>
  <c r="L38" i="7"/>
  <c r="I44" i="7"/>
  <c r="L44" i="7"/>
  <c r="K56" i="7"/>
  <c r="N56" i="7"/>
  <c r="K62" i="7"/>
  <c r="H62" i="7"/>
  <c r="N62" i="7"/>
  <c r="K68" i="7"/>
  <c r="N68" i="7"/>
  <c r="K74" i="7"/>
  <c r="H74" i="7"/>
  <c r="N74" i="7"/>
  <c r="K80" i="7"/>
  <c r="K85" i="7" s="1"/>
  <c r="J25" i="9" s="1"/>
  <c r="J26" i="9" s="1"/>
  <c r="J28" i="9" s="1"/>
  <c r="N80" i="7"/>
  <c r="N85" i="7" s="1"/>
  <c r="M25" i="9" s="1"/>
  <c r="M26" i="9" s="1"/>
  <c r="M28" i="9" s="1"/>
  <c r="J11" i="7"/>
  <c r="C50" i="7"/>
  <c r="M50" i="7"/>
  <c r="F22" i="4"/>
  <c r="I22" i="4"/>
  <c r="D43" i="4"/>
  <c r="G43" i="4"/>
  <c r="J61" i="4"/>
  <c r="M61" i="4"/>
  <c r="E61" i="4"/>
  <c r="L22" i="4"/>
  <c r="O19" i="7"/>
  <c r="O46" i="7"/>
  <c r="O58" i="7"/>
  <c r="O73" i="7"/>
  <c r="O16" i="7"/>
  <c r="D88" i="7"/>
  <c r="H88" i="7"/>
  <c r="L88" i="7"/>
  <c r="L11" i="7"/>
  <c r="G62" i="7"/>
  <c r="J74" i="7"/>
  <c r="I50" i="7"/>
  <c r="D22" i="4"/>
  <c r="G22" i="4"/>
  <c r="J43" i="4"/>
  <c r="M43" i="4"/>
  <c r="E43" i="4"/>
  <c r="H61" i="4"/>
  <c r="K61" i="4"/>
  <c r="C61" i="4"/>
  <c r="L61" i="4"/>
  <c r="O25" i="7"/>
  <c r="O37" i="7"/>
  <c r="O61" i="7"/>
  <c r="O22" i="7"/>
  <c r="E88" i="7"/>
  <c r="I88" i="7"/>
  <c r="M88" i="7"/>
  <c r="M8" i="7"/>
  <c r="K20" i="7"/>
  <c r="K59" i="7"/>
  <c r="K71" i="7"/>
  <c r="J23" i="7"/>
  <c r="K32" i="7"/>
  <c r="K38" i="7"/>
  <c r="H38" i="7"/>
  <c r="K44" i="7"/>
  <c r="J56" i="7"/>
  <c r="D62" i="7"/>
  <c r="J62" i="7"/>
  <c r="J68" i="7"/>
  <c r="G74" i="7"/>
  <c r="D74" i="7"/>
  <c r="J80" i="7"/>
  <c r="J85" i="7" s="1"/>
  <c r="I25" i="9" s="1"/>
  <c r="I26" i="9" s="1"/>
  <c r="I28" i="9" s="1"/>
  <c r="K50" i="7"/>
  <c r="H50" i="7"/>
  <c r="G50" i="7"/>
  <c r="G26" i="7"/>
  <c r="N8" i="7"/>
  <c r="I8" i="7"/>
  <c r="N14" i="7"/>
  <c r="G14" i="7"/>
  <c r="N38" i="7"/>
  <c r="G38" i="7"/>
  <c r="C62" i="7"/>
  <c r="I62" i="7"/>
  <c r="C74" i="7"/>
  <c r="I74" i="7"/>
  <c r="I80" i="7"/>
  <c r="I85" i="7" s="1"/>
  <c r="H25" i="9" s="1"/>
  <c r="H26" i="9" s="1"/>
  <c r="H28" i="9" s="1"/>
  <c r="K11" i="7"/>
  <c r="D50" i="7"/>
  <c r="L50" i="7"/>
  <c r="J22" i="4"/>
  <c r="M22" i="4"/>
  <c r="E22" i="4"/>
  <c r="H43" i="4"/>
  <c r="K43" i="4"/>
  <c r="C43" i="4"/>
  <c r="F61" i="4"/>
  <c r="I61" i="4"/>
  <c r="N49" i="4"/>
  <c r="F88" i="7"/>
  <c r="J88" i="7"/>
  <c r="C83" i="7"/>
  <c r="B6" i="9" s="1"/>
  <c r="L77" i="7"/>
  <c r="J77" i="7"/>
  <c r="J83" i="7" s="1"/>
  <c r="I6" i="9" s="1"/>
  <c r="G77" i="7"/>
  <c r="M64" i="4"/>
  <c r="N16" i="4"/>
  <c r="N19" i="4"/>
  <c r="N40" i="4"/>
  <c r="N61" i="4"/>
  <c r="N64" i="4"/>
  <c r="I77" i="7"/>
  <c r="N77" i="7"/>
  <c r="H13" i="3"/>
  <c r="L31" i="3"/>
  <c r="L59" i="6"/>
  <c r="J13" i="3"/>
  <c r="I28" i="3"/>
  <c r="F40" i="3"/>
  <c r="K49" i="3"/>
  <c r="H61" i="3"/>
  <c r="J70" i="3"/>
  <c r="D14" i="6"/>
  <c r="M41" i="6"/>
  <c r="N12" i="3"/>
  <c r="N13" i="3" s="1"/>
  <c r="H19" i="3"/>
  <c r="K28" i="3"/>
  <c r="J40" i="3"/>
  <c r="J61" i="3"/>
  <c r="G131" i="6"/>
  <c r="F11" i="6"/>
  <c r="H11" i="6"/>
  <c r="N41" i="6"/>
  <c r="F41" i="6"/>
  <c r="G41" i="6"/>
  <c r="D127" i="6"/>
  <c r="C124" i="6"/>
  <c r="C125" i="6" s="1"/>
  <c r="L50" i="6"/>
  <c r="D47" i="6"/>
  <c r="J55" i="3"/>
  <c r="F64" i="3"/>
  <c r="N64" i="3"/>
  <c r="J19" i="3"/>
  <c r="N18" i="3"/>
  <c r="N19" i="3" s="1"/>
  <c r="M28" i="3"/>
  <c r="E28" i="3"/>
  <c r="D31" i="3"/>
  <c r="I34" i="3"/>
  <c r="J43" i="3"/>
  <c r="M49" i="3"/>
  <c r="J52" i="3"/>
  <c r="F70" i="3"/>
  <c r="E9" i="10" s="1"/>
  <c r="N30" i="3"/>
  <c r="N31" i="3" s="1"/>
  <c r="E34" i="3"/>
  <c r="F43" i="3"/>
  <c r="F19" i="3"/>
  <c r="L11" i="6"/>
  <c r="L41" i="6"/>
  <c r="C131" i="6"/>
  <c r="H53" i="6"/>
  <c r="E50" i="6"/>
  <c r="O49" i="6"/>
  <c r="O121" i="6" s="1"/>
  <c r="C59" i="6"/>
  <c r="F55" i="3"/>
  <c r="L19" i="3"/>
  <c r="G28" i="3"/>
  <c r="C10" i="10"/>
  <c r="C11" i="10" s="1"/>
  <c r="E134" i="6"/>
  <c r="C134" i="6"/>
  <c r="D134" i="6"/>
  <c r="F71" i="3"/>
  <c r="N50" i="6"/>
  <c r="E14" i="6"/>
  <c r="H122" i="6"/>
  <c r="E53" i="6"/>
  <c r="M50" i="6"/>
  <c r="I50" i="6"/>
  <c r="E47" i="6"/>
  <c r="J50" i="6"/>
  <c r="L13" i="3"/>
  <c r="L28" i="3"/>
  <c r="H28" i="3"/>
  <c r="D28" i="3"/>
  <c r="H40" i="3"/>
  <c r="H43" i="3"/>
  <c r="I49" i="3"/>
  <c r="C28" i="3"/>
  <c r="D118" i="6"/>
  <c r="I53" i="6"/>
  <c r="H50" i="6"/>
  <c r="F47" i="6"/>
  <c r="D59" i="6"/>
  <c r="J28" i="3"/>
  <c r="F28" i="3"/>
  <c r="K10" i="10"/>
  <c r="K11" i="10" s="1"/>
  <c r="G10" i="10"/>
  <c r="G11" i="10" s="1"/>
  <c r="G16" i="10"/>
  <c r="G18" i="10" s="1"/>
  <c r="K122" i="6"/>
  <c r="H71" i="3"/>
  <c r="E25" i="6"/>
  <c r="M25" i="6"/>
  <c r="J25" i="6"/>
  <c r="D124" i="6"/>
  <c r="M53" i="6"/>
  <c r="D53" i="6"/>
  <c r="G47" i="6"/>
  <c r="C47" i="6"/>
  <c r="H47" i="6"/>
  <c r="G20" i="1"/>
  <c r="L122" i="6"/>
  <c r="E16" i="6"/>
  <c r="K16" i="6"/>
  <c r="F16" i="6"/>
  <c r="N16" i="6"/>
  <c r="G16" i="6"/>
  <c r="M16" i="6"/>
  <c r="L16" i="6"/>
  <c r="C16" i="6"/>
  <c r="H16" i="6"/>
  <c r="M13" i="2"/>
  <c r="I16" i="6"/>
  <c r="D16" i="6"/>
  <c r="J16" i="6"/>
  <c r="K50" i="6"/>
  <c r="C34" i="3"/>
  <c r="K34" i="3"/>
  <c r="N33" i="3"/>
  <c r="N34" i="3" s="1"/>
  <c r="G34" i="3"/>
  <c r="L40" i="3"/>
  <c r="G58" i="5"/>
  <c r="K58" i="5"/>
  <c r="C58" i="5"/>
  <c r="H109" i="5"/>
  <c r="C109" i="5"/>
  <c r="N109" i="5"/>
  <c r="H136" i="5"/>
  <c r="C136" i="5"/>
  <c r="D154" i="5"/>
  <c r="G154" i="5"/>
  <c r="K154" i="5"/>
  <c r="E154" i="5"/>
  <c r="I154" i="5"/>
  <c r="M154" i="5"/>
  <c r="M19" i="5"/>
  <c r="E19" i="5"/>
  <c r="M61" i="5"/>
  <c r="K61" i="5"/>
  <c r="C61" i="5"/>
  <c r="G73" i="5"/>
  <c r="K73" i="5"/>
  <c r="C73" i="5"/>
  <c r="C112" i="5"/>
  <c r="H112" i="5"/>
  <c r="E127" i="5"/>
  <c r="I127" i="5"/>
  <c r="M127" i="5"/>
  <c r="C127" i="5"/>
  <c r="G127" i="5"/>
  <c r="K127" i="5"/>
  <c r="H154" i="5"/>
  <c r="C40" i="3"/>
  <c r="G40" i="3"/>
  <c r="K40" i="3"/>
  <c r="N39" i="3"/>
  <c r="N40" i="3" s="1"/>
  <c r="E40" i="3"/>
  <c r="I40" i="3"/>
  <c r="M40" i="3"/>
  <c r="N10" i="5"/>
  <c r="J20" i="2"/>
  <c r="K52" i="5"/>
  <c r="C52" i="5"/>
  <c r="H88" i="5"/>
  <c r="C88" i="5"/>
  <c r="D103" i="5"/>
  <c r="G103" i="5"/>
  <c r="K103" i="5"/>
  <c r="E103" i="5"/>
  <c r="I103" i="5"/>
  <c r="M103" i="5"/>
  <c r="L130" i="5"/>
  <c r="C130" i="5"/>
  <c r="D130" i="5"/>
  <c r="G53" i="6"/>
  <c r="L53" i="6"/>
  <c r="K53" i="6"/>
  <c r="D50" i="6"/>
  <c r="N36" i="3"/>
  <c r="N37" i="3" s="1"/>
  <c r="L37" i="3"/>
  <c r="D37" i="3"/>
  <c r="N43" i="3"/>
  <c r="M13" i="5"/>
  <c r="E13" i="5"/>
  <c r="M25" i="5"/>
  <c r="E25" i="5"/>
  <c r="M46" i="5"/>
  <c r="E46" i="5"/>
  <c r="L103" i="5"/>
  <c r="D109" i="5"/>
  <c r="H127" i="5"/>
  <c r="H130" i="5"/>
  <c r="I67" i="5"/>
  <c r="N67" i="5"/>
  <c r="M67" i="5"/>
  <c r="E67" i="5"/>
  <c r="G79" i="5"/>
  <c r="K79" i="5"/>
  <c r="C79" i="5"/>
  <c r="N106" i="5"/>
  <c r="C106" i="5"/>
  <c r="G106" i="5"/>
  <c r="K106" i="5"/>
  <c r="C133" i="5"/>
  <c r="L133" i="5"/>
  <c r="D133" i="5"/>
  <c r="L154" i="5"/>
  <c r="N149" i="8"/>
  <c r="N137" i="8"/>
  <c r="N125" i="8"/>
  <c r="N113" i="8"/>
  <c r="N101" i="8"/>
  <c r="N89" i="8"/>
  <c r="N77" i="8"/>
  <c r="N65" i="8"/>
  <c r="N53" i="8"/>
  <c r="N43" i="4"/>
  <c r="I83" i="7"/>
  <c r="H6" i="9" s="1"/>
  <c r="D22" i="3"/>
  <c r="H55" i="3"/>
  <c r="L43" i="3"/>
  <c r="M115" i="5"/>
  <c r="I115" i="5"/>
  <c r="F77" i="7"/>
  <c r="J56" i="8"/>
  <c r="J41" i="8"/>
  <c r="M77" i="7"/>
  <c r="K77" i="7"/>
  <c r="K83" i="7" s="1"/>
  <c r="J6" i="9" s="1"/>
  <c r="H77" i="7"/>
  <c r="E77" i="7"/>
  <c r="E83" i="7" s="1"/>
  <c r="D6" i="9" s="1"/>
  <c r="K131" i="6" l="1"/>
  <c r="L100" i="6"/>
  <c r="E100" i="6"/>
  <c r="F87" i="6"/>
  <c r="N97" i="6"/>
  <c r="F100" i="6"/>
  <c r="J100" i="6"/>
  <c r="L97" i="6"/>
  <c r="H16" i="10"/>
  <c r="H18" i="10" s="1"/>
  <c r="K59" i="6"/>
  <c r="M131" i="6"/>
  <c r="J131" i="6"/>
  <c r="D56" i="6"/>
  <c r="I59" i="6"/>
  <c r="O46" i="6"/>
  <c r="O118" i="6" s="1"/>
  <c r="D71" i="3"/>
  <c r="N29" i="6"/>
  <c r="L131" i="6"/>
  <c r="O19" i="4"/>
  <c r="D11" i="6"/>
  <c r="G35" i="1"/>
  <c r="J59" i="6"/>
  <c r="M59" i="6"/>
  <c r="K56" i="6"/>
  <c r="F16" i="10"/>
  <c r="F18" i="10" s="1"/>
  <c r="L8" i="6"/>
  <c r="M47" i="8"/>
  <c r="I11" i="1"/>
  <c r="D26" i="6"/>
  <c r="F59" i="6"/>
  <c r="I8" i="6"/>
  <c r="M8" i="6"/>
  <c r="O40" i="8"/>
  <c r="L82" i="6"/>
  <c r="O31" i="4"/>
  <c r="H131" i="6"/>
  <c r="M34" i="9"/>
  <c r="I34" i="9"/>
  <c r="E34" i="9"/>
  <c r="B34" i="9"/>
  <c r="B26" i="9"/>
  <c r="J34" i="9"/>
  <c r="F34" i="9"/>
  <c r="K34" i="9"/>
  <c r="G34" i="9"/>
  <c r="L34" i="9"/>
  <c r="H34" i="9"/>
  <c r="D34" i="9"/>
  <c r="C34" i="9"/>
  <c r="O61" i="3"/>
  <c r="O58" i="3"/>
  <c r="K41" i="6"/>
  <c r="O25" i="8"/>
  <c r="O157" i="8" s="1"/>
  <c r="J116" i="6"/>
  <c r="D131" i="6"/>
  <c r="O79" i="4"/>
  <c r="G22" i="1"/>
  <c r="I22" i="1" s="1"/>
  <c r="N56" i="6"/>
  <c r="C82" i="6"/>
  <c r="F134" i="6"/>
  <c r="C122" i="6"/>
  <c r="J41" i="6"/>
  <c r="J11" i="6"/>
  <c r="K11" i="6"/>
  <c r="N131" i="6"/>
  <c r="C78" i="6"/>
  <c r="C79" i="6" s="1"/>
  <c r="G27" i="13"/>
  <c r="E27" i="13"/>
  <c r="H34" i="1"/>
  <c r="I27" i="1"/>
  <c r="I35" i="1" s="1"/>
  <c r="N43" i="12"/>
  <c r="L78" i="6"/>
  <c r="H78" i="6"/>
  <c r="F78" i="6"/>
  <c r="K78" i="6"/>
  <c r="G78" i="6"/>
  <c r="E78" i="6"/>
  <c r="H25" i="1"/>
  <c r="H33" i="1" s="1"/>
  <c r="M112" i="6"/>
  <c r="G112" i="6"/>
  <c r="D112" i="6"/>
  <c r="L112" i="6"/>
  <c r="F112" i="6"/>
  <c r="E112" i="6"/>
  <c r="C112" i="6"/>
  <c r="G113" i="6" s="1"/>
  <c r="J112" i="6"/>
  <c r="D85" i="6"/>
  <c r="H14" i="6"/>
  <c r="N47" i="8"/>
  <c r="J47" i="8"/>
  <c r="I82" i="6"/>
  <c r="F14" i="6"/>
  <c r="J87" i="6"/>
  <c r="H97" i="6"/>
  <c r="E82" i="6"/>
  <c r="H59" i="6"/>
  <c r="N47" i="6"/>
  <c r="J82" i="6"/>
  <c r="D10" i="10"/>
  <c r="D11" i="10" s="1"/>
  <c r="K14" i="6"/>
  <c r="M134" i="6"/>
  <c r="O58" i="6"/>
  <c r="O130" i="6" s="1"/>
  <c r="J47" i="6"/>
  <c r="I71" i="3"/>
  <c r="D29" i="6"/>
  <c r="M47" i="6"/>
  <c r="O49" i="7"/>
  <c r="H47" i="8"/>
  <c r="K8" i="6"/>
  <c r="H12" i="1"/>
  <c r="G33" i="1"/>
  <c r="J9" i="10"/>
  <c r="J10" i="10" s="1"/>
  <c r="J11" i="10" s="1"/>
  <c r="E29" i="6"/>
  <c r="C11" i="6"/>
  <c r="M71" i="3"/>
  <c r="J56" i="6"/>
  <c r="G21" i="1"/>
  <c r="N4" i="6"/>
  <c r="N78" i="6" s="1"/>
  <c r="K100" i="6"/>
  <c r="G100" i="6"/>
  <c r="G87" i="6"/>
  <c r="K15" i="2"/>
  <c r="F97" i="6"/>
  <c r="F8" i="6"/>
  <c r="O64" i="7"/>
  <c r="L87" i="6"/>
  <c r="N59" i="6"/>
  <c r="G14" i="6"/>
  <c r="M29" i="6"/>
  <c r="G34" i="1"/>
  <c r="J14" i="6"/>
  <c r="N157" i="8"/>
  <c r="M8" i="9" s="1"/>
  <c r="O8" i="9" s="1"/>
  <c r="L56" i="6"/>
  <c r="O52" i="6"/>
  <c r="O124" i="6" s="1"/>
  <c r="K47" i="6"/>
  <c r="K82" i="6"/>
  <c r="E85" i="6"/>
  <c r="O7" i="6"/>
  <c r="O81" i="6" s="1"/>
  <c r="E131" i="6"/>
  <c r="J29" i="6"/>
  <c r="J8" i="6"/>
  <c r="O151" i="5"/>
  <c r="N14" i="6"/>
  <c r="H29" i="6"/>
  <c r="J78" i="6"/>
  <c r="C100" i="6"/>
  <c r="I112" i="6"/>
  <c r="K112" i="6"/>
  <c r="H100" i="6"/>
  <c r="M37" i="6"/>
  <c r="N37" i="6"/>
  <c r="H37" i="6"/>
  <c r="E37" i="6"/>
  <c r="J37" i="6"/>
  <c r="I37" i="6"/>
  <c r="I109" i="6" s="1"/>
  <c r="F37" i="6"/>
  <c r="L37" i="6"/>
  <c r="G37" i="6"/>
  <c r="K37" i="6"/>
  <c r="D37" i="6"/>
  <c r="C37" i="6"/>
  <c r="M21" i="2"/>
  <c r="M84" i="6"/>
  <c r="L84" i="6"/>
  <c r="M100" i="6"/>
  <c r="E87" i="6"/>
  <c r="I97" i="6"/>
  <c r="G97" i="6"/>
  <c r="M87" i="6"/>
  <c r="L31" i="6"/>
  <c r="G31" i="6"/>
  <c r="H31" i="6"/>
  <c r="M19" i="2"/>
  <c r="F31" i="6"/>
  <c r="K31" i="6"/>
  <c r="K103" i="6" s="1"/>
  <c r="I31" i="6"/>
  <c r="M31" i="6"/>
  <c r="M103" i="6" s="1"/>
  <c r="E31" i="6"/>
  <c r="J31" i="6"/>
  <c r="J103" i="6" s="1"/>
  <c r="C31" i="6"/>
  <c r="D31" i="6"/>
  <c r="D103" i="6" s="1"/>
  <c r="K87" i="6"/>
  <c r="N128" i="6"/>
  <c r="O13" i="6"/>
  <c r="O87" i="6" s="1"/>
  <c r="N11" i="6"/>
  <c r="L47" i="6"/>
  <c r="I29" i="6"/>
  <c r="I47" i="8"/>
  <c r="E71" i="3"/>
  <c r="D97" i="6"/>
  <c r="D98" i="6" s="1"/>
  <c r="E59" i="6"/>
  <c r="M14" i="6"/>
  <c r="N82" i="6"/>
  <c r="E56" i="6"/>
  <c r="M56" i="6"/>
  <c r="N8" i="6"/>
  <c r="N53" i="6"/>
  <c r="F131" i="6"/>
  <c r="E8" i="6"/>
  <c r="I131" i="6"/>
  <c r="G29" i="6"/>
  <c r="K29" i="6"/>
  <c r="I11" i="6"/>
  <c r="G71" i="3"/>
  <c r="L29" i="6"/>
  <c r="N116" i="8"/>
  <c r="I78" i="6"/>
  <c r="M78" i="6"/>
  <c r="H8" i="6"/>
  <c r="N87" i="6"/>
  <c r="J84" i="6"/>
  <c r="K84" i="6"/>
  <c r="G17" i="1"/>
  <c r="I17" i="1" s="1"/>
  <c r="B127" i="2"/>
  <c r="G18" i="1" s="1"/>
  <c r="H18" i="1" s="1"/>
  <c r="H84" i="6"/>
  <c r="F84" i="6"/>
  <c r="G84" i="6"/>
  <c r="H82" i="6"/>
  <c r="H56" i="6"/>
  <c r="L47" i="8"/>
  <c r="M82" i="6"/>
  <c r="F56" i="6"/>
  <c r="F82" i="6"/>
  <c r="D82" i="6"/>
  <c r="I87" i="6"/>
  <c r="O22" i="3"/>
  <c r="G59" i="6"/>
  <c r="I56" i="6"/>
  <c r="F29" i="6"/>
  <c r="G11" i="6"/>
  <c r="O52" i="3"/>
  <c r="O55" i="6"/>
  <c r="O127" i="6" s="1"/>
  <c r="G8" i="6"/>
  <c r="O10" i="6"/>
  <c r="O84" i="6" s="1"/>
  <c r="L14" i="6"/>
  <c r="I33" i="1"/>
  <c r="G56" i="6"/>
  <c r="E11" i="6"/>
  <c r="N59" i="8"/>
  <c r="D8" i="6"/>
  <c r="C87" i="6"/>
  <c r="H112" i="6"/>
  <c r="N112" i="6"/>
  <c r="N31" i="6"/>
  <c r="N103" i="6" s="1"/>
  <c r="K31" i="2"/>
  <c r="H87" i="6"/>
  <c r="D87" i="6"/>
  <c r="K97" i="6"/>
  <c r="G122" i="6"/>
  <c r="O28" i="6"/>
  <c r="O100" i="6" s="1"/>
  <c r="G82" i="6"/>
  <c r="L10" i="10"/>
  <c r="L11" i="10" s="1"/>
  <c r="L16" i="10"/>
  <c r="L18" i="10" s="1"/>
  <c r="O94" i="5"/>
  <c r="J16" i="10"/>
  <c r="J18" i="10" s="1"/>
  <c r="K128" i="6"/>
  <c r="O49" i="5"/>
  <c r="O10" i="3"/>
  <c r="C26" i="8"/>
  <c r="C158" i="8" s="1"/>
  <c r="B18" i="9" s="1"/>
  <c r="O43" i="5"/>
  <c r="O22" i="5"/>
  <c r="O13" i="4"/>
  <c r="O67" i="3"/>
  <c r="O67" i="4"/>
  <c r="O58" i="4"/>
  <c r="O37" i="4"/>
  <c r="O25" i="4"/>
  <c r="O73" i="4"/>
  <c r="M116" i="6"/>
  <c r="O34" i="4"/>
  <c r="O76" i="4"/>
  <c r="O10" i="4"/>
  <c r="O28" i="4"/>
  <c r="O85" i="4"/>
  <c r="O55" i="4"/>
  <c r="M122" i="6"/>
  <c r="M128" i="6"/>
  <c r="N134" i="6"/>
  <c r="K134" i="6"/>
  <c r="I116" i="6"/>
  <c r="F122" i="6"/>
  <c r="N122" i="6"/>
  <c r="O16" i="4"/>
  <c r="O49" i="4"/>
  <c r="E116" i="6"/>
  <c r="N21" i="12"/>
  <c r="F116" i="6"/>
  <c r="O40" i="4"/>
  <c r="O10" i="5"/>
  <c r="E122" i="6"/>
  <c r="L134" i="6"/>
  <c r="I134" i="6"/>
  <c r="J134" i="6"/>
  <c r="N116" i="6"/>
  <c r="J84" i="7"/>
  <c r="I16" i="9" s="1"/>
  <c r="I122" i="6"/>
  <c r="L128" i="6"/>
  <c r="J122" i="6"/>
  <c r="H128" i="6"/>
  <c r="I128" i="6"/>
  <c r="G134" i="6"/>
  <c r="I84" i="7"/>
  <c r="H16" i="9" s="1"/>
  <c r="O148" i="5"/>
  <c r="O16" i="5"/>
  <c r="O55" i="5"/>
  <c r="O70" i="4"/>
  <c r="N70" i="3"/>
  <c r="M9" i="10" s="1"/>
  <c r="O82" i="5"/>
  <c r="N26" i="8"/>
  <c r="O46" i="3"/>
  <c r="O82" i="4"/>
  <c r="O46" i="4"/>
  <c r="B9" i="10"/>
  <c r="C71" i="3"/>
  <c r="J128" i="6"/>
  <c r="E128" i="6"/>
  <c r="F128" i="6"/>
  <c r="O31" i="3"/>
  <c r="O64" i="3"/>
  <c r="H26" i="8"/>
  <c r="H158" i="8" s="1"/>
  <c r="G18" i="9" s="1"/>
  <c r="D65" i="6"/>
  <c r="E65" i="6"/>
  <c r="N65" i="6"/>
  <c r="G65" i="6"/>
  <c r="O64" i="6"/>
  <c r="O136" i="6" s="1"/>
  <c r="F65" i="6"/>
  <c r="I65" i="6"/>
  <c r="H65" i="6"/>
  <c r="C65" i="6"/>
  <c r="C136" i="6"/>
  <c r="J65" i="6"/>
  <c r="K65" i="6"/>
  <c r="M65" i="6"/>
  <c r="L65" i="6"/>
  <c r="O13" i="3"/>
  <c r="O91" i="5"/>
  <c r="O70" i="5"/>
  <c r="O145" i="5"/>
  <c r="O76" i="5"/>
  <c r="O142" i="5"/>
  <c r="O16" i="3"/>
  <c r="O85" i="5"/>
  <c r="O55" i="3"/>
  <c r="C116" i="6"/>
  <c r="D116" i="6"/>
  <c r="O22" i="4"/>
  <c r="O49" i="3"/>
  <c r="K116" i="6"/>
  <c r="G116" i="6"/>
  <c r="H116" i="6"/>
  <c r="L116" i="6"/>
  <c r="O52" i="4"/>
  <c r="G23" i="1"/>
  <c r="I23" i="1" s="1"/>
  <c r="I16" i="1"/>
  <c r="H17" i="1"/>
  <c r="F26" i="8"/>
  <c r="F158" i="8" s="1"/>
  <c r="E18" i="9" s="1"/>
  <c r="O97" i="5"/>
  <c r="O139" i="5"/>
  <c r="I26" i="8"/>
  <c r="I158" i="8" s="1"/>
  <c r="H18" i="9" s="1"/>
  <c r="O64" i="5"/>
  <c r="C84" i="7"/>
  <c r="B16" i="9" s="1"/>
  <c r="O40" i="5"/>
  <c r="G26" i="8"/>
  <c r="G158" i="8" s="1"/>
  <c r="F18" i="9" s="1"/>
  <c r="D26" i="8"/>
  <c r="D158" i="8" s="1"/>
  <c r="C18" i="9" s="1"/>
  <c r="E26" i="8"/>
  <c r="E158" i="8" s="1"/>
  <c r="D18" i="9" s="1"/>
  <c r="L26" i="8"/>
  <c r="L158" i="8" s="1"/>
  <c r="K18" i="9" s="1"/>
  <c r="N22" i="12"/>
  <c r="E32" i="13" s="1"/>
  <c r="O118" i="5"/>
  <c r="K26" i="8"/>
  <c r="K158" i="8" s="1"/>
  <c r="J18" i="9" s="1"/>
  <c r="J26" i="8"/>
  <c r="J158" i="8" s="1"/>
  <c r="I18" i="9" s="1"/>
  <c r="N8" i="9"/>
  <c r="O124" i="5"/>
  <c r="N5" i="14"/>
  <c r="O37" i="5"/>
  <c r="O100" i="5"/>
  <c r="O115" i="5"/>
  <c r="O25" i="5"/>
  <c r="O121" i="5"/>
  <c r="O103" i="5"/>
  <c r="O154" i="5"/>
  <c r="O133" i="5"/>
  <c r="O67" i="5"/>
  <c r="O79" i="5"/>
  <c r="O52" i="5"/>
  <c r="O112" i="5"/>
  <c r="O61" i="5"/>
  <c r="O58" i="5"/>
  <c r="M26" i="8"/>
  <c r="M158" i="8" s="1"/>
  <c r="L18" i="9" s="1"/>
  <c r="D84" i="7"/>
  <c r="C16" i="9" s="1"/>
  <c r="N84" i="7"/>
  <c r="M16" i="9" s="1"/>
  <c r="G84" i="7"/>
  <c r="F16" i="9" s="1"/>
  <c r="O43" i="4"/>
  <c r="O61" i="4"/>
  <c r="G83" i="7"/>
  <c r="F6" i="9" s="1"/>
  <c r="O64" i="4"/>
  <c r="L84" i="7"/>
  <c r="K16" i="9" s="1"/>
  <c r="L83" i="7"/>
  <c r="K6" i="9" s="1"/>
  <c r="N83" i="7"/>
  <c r="M6" i="9" s="1"/>
  <c r="L113" i="6"/>
  <c r="O34" i="3"/>
  <c r="O19" i="3"/>
  <c r="I9" i="10"/>
  <c r="J71" i="3"/>
  <c r="D128" i="6"/>
  <c r="G128" i="6"/>
  <c r="O43" i="3"/>
  <c r="O28" i="3"/>
  <c r="K119" i="6"/>
  <c r="D119" i="6"/>
  <c r="I119" i="6"/>
  <c r="L119" i="6"/>
  <c r="N119" i="6"/>
  <c r="G119" i="6"/>
  <c r="J119" i="6"/>
  <c r="F119" i="6"/>
  <c r="M119" i="6"/>
  <c r="E119" i="6"/>
  <c r="H119" i="6"/>
  <c r="N71" i="3"/>
  <c r="J5" i="6"/>
  <c r="H5" i="6"/>
  <c r="K5" i="6"/>
  <c r="G5" i="6"/>
  <c r="D5" i="6"/>
  <c r="E5" i="6"/>
  <c r="D78" i="6"/>
  <c r="F5" i="6"/>
  <c r="I5" i="6"/>
  <c r="M5" i="6"/>
  <c r="L5" i="6"/>
  <c r="E10" i="10"/>
  <c r="E11" i="10" s="1"/>
  <c r="E16" i="10"/>
  <c r="E18" i="10" s="1"/>
  <c r="K26" i="6"/>
  <c r="N26" i="6"/>
  <c r="O25" i="6"/>
  <c r="F26" i="6"/>
  <c r="M26" i="6"/>
  <c r="I26" i="6"/>
  <c r="E26" i="6"/>
  <c r="J26" i="6"/>
  <c r="H26" i="6"/>
  <c r="L26" i="6"/>
  <c r="G26" i="6"/>
  <c r="E97" i="6"/>
  <c r="O73" i="5"/>
  <c r="D90" i="6"/>
  <c r="D20" i="6"/>
  <c r="C90" i="6"/>
  <c r="H17" i="6"/>
  <c r="O16" i="6"/>
  <c r="C17" i="6"/>
  <c r="I17" i="6"/>
  <c r="J17" i="6"/>
  <c r="E17" i="6"/>
  <c r="F17" i="6"/>
  <c r="D17" i="6"/>
  <c r="N17" i="6"/>
  <c r="M17" i="6"/>
  <c r="C20" i="6"/>
  <c r="K17" i="6"/>
  <c r="G17" i="6"/>
  <c r="L17" i="6"/>
  <c r="N90" i="6"/>
  <c r="K84" i="7"/>
  <c r="J16" i="9" s="1"/>
  <c r="H20" i="1"/>
  <c r="I20" i="1"/>
  <c r="J90" i="6"/>
  <c r="J20" i="6"/>
  <c r="H90" i="6"/>
  <c r="H20" i="6"/>
  <c r="G90" i="6"/>
  <c r="G20" i="6"/>
  <c r="E90" i="6"/>
  <c r="E20" i="6"/>
  <c r="J125" i="6"/>
  <c r="M125" i="6"/>
  <c r="E125" i="6"/>
  <c r="H125" i="6"/>
  <c r="K125" i="6"/>
  <c r="N125" i="6"/>
  <c r="F125" i="6"/>
  <c r="I125" i="6"/>
  <c r="L125" i="6"/>
  <c r="D125" i="6"/>
  <c r="G125" i="6"/>
  <c r="H84" i="7"/>
  <c r="G16" i="9" s="1"/>
  <c r="H83" i="7"/>
  <c r="G6" i="9" s="1"/>
  <c r="O106" i="5"/>
  <c r="O37" i="3"/>
  <c r="O130" i="5"/>
  <c r="O88" i="5"/>
  <c r="H34" i="6"/>
  <c r="N34" i="6"/>
  <c r="L34" i="6"/>
  <c r="K34" i="6"/>
  <c r="C34" i="6"/>
  <c r="I34" i="6"/>
  <c r="D34" i="6"/>
  <c r="M34" i="6"/>
  <c r="E34" i="6"/>
  <c r="J34" i="6"/>
  <c r="F34" i="6"/>
  <c r="M20" i="2"/>
  <c r="G34" i="6"/>
  <c r="J31" i="2"/>
  <c r="J33" i="2" s="1"/>
  <c r="J11" i="1" s="1"/>
  <c r="O40" i="3"/>
  <c r="O109" i="5"/>
  <c r="I90" i="6"/>
  <c r="I20" i="6"/>
  <c r="L90" i="6"/>
  <c r="L20" i="6"/>
  <c r="F90" i="6"/>
  <c r="F93" i="6" s="1"/>
  <c r="F20" i="6"/>
  <c r="J97" i="6"/>
  <c r="M83" i="7"/>
  <c r="L6" i="9" s="1"/>
  <c r="M84" i="7"/>
  <c r="L16" i="9" s="1"/>
  <c r="F84" i="7"/>
  <c r="E16" i="9" s="1"/>
  <c r="F83" i="7"/>
  <c r="E6" i="9" s="1"/>
  <c r="N158" i="8"/>
  <c r="M18" i="9" s="1"/>
  <c r="O46" i="5"/>
  <c r="O13" i="5"/>
  <c r="O127" i="5"/>
  <c r="O19" i="5"/>
  <c r="O136" i="5"/>
  <c r="M90" i="6"/>
  <c r="M20" i="6"/>
  <c r="K90" i="6"/>
  <c r="K20" i="6"/>
  <c r="E84" i="7"/>
  <c r="D16" i="9" s="1"/>
  <c r="M97" i="6"/>
  <c r="I88" i="6"/>
  <c r="J88" i="6" l="1"/>
  <c r="G103" i="6"/>
  <c r="E103" i="6"/>
  <c r="I103" i="6"/>
  <c r="F103" i="6"/>
  <c r="L103" i="6"/>
  <c r="D109" i="6"/>
  <c r="H109" i="6"/>
  <c r="E93" i="6"/>
  <c r="J21" i="6"/>
  <c r="I113" i="6"/>
  <c r="H22" i="1"/>
  <c r="G93" i="6"/>
  <c r="M68" i="6"/>
  <c r="O83" i="7"/>
  <c r="N6" i="9" s="1"/>
  <c r="K35" i="9"/>
  <c r="G35" i="9"/>
  <c r="C35" i="9"/>
  <c r="L35" i="9"/>
  <c r="H35" i="9"/>
  <c r="D35" i="9"/>
  <c r="B35" i="9"/>
  <c r="M35" i="9"/>
  <c r="I35" i="9"/>
  <c r="E35" i="9"/>
  <c r="J35" i="9"/>
  <c r="F35" i="9"/>
  <c r="B28" i="9"/>
  <c r="L88" i="6"/>
  <c r="H85" i="6"/>
  <c r="H23" i="1"/>
  <c r="I18" i="1"/>
  <c r="N88" i="6"/>
  <c r="N85" i="6"/>
  <c r="L85" i="6"/>
  <c r="H88" i="6"/>
  <c r="M88" i="6"/>
  <c r="G85" i="6"/>
  <c r="J85" i="6"/>
  <c r="I34" i="1"/>
  <c r="K93" i="6"/>
  <c r="J93" i="6"/>
  <c r="O4" i="6"/>
  <c r="O78" i="6" s="1"/>
  <c r="O93" i="6" s="1"/>
  <c r="N20" i="6"/>
  <c r="C113" i="6"/>
  <c r="D113" i="6"/>
  <c r="N93" i="6"/>
  <c r="N113" i="6"/>
  <c r="M113" i="6"/>
  <c r="J109" i="6"/>
  <c r="C101" i="6"/>
  <c r="L101" i="6"/>
  <c r="N101" i="6"/>
  <c r="D101" i="6"/>
  <c r="J101" i="6"/>
  <c r="H101" i="6"/>
  <c r="M101" i="6"/>
  <c r="F101" i="6"/>
  <c r="G101" i="6"/>
  <c r="E101" i="6"/>
  <c r="I101" i="6"/>
  <c r="I21" i="1"/>
  <c r="H21" i="1"/>
  <c r="K85" i="6"/>
  <c r="H113" i="6"/>
  <c r="M93" i="6"/>
  <c r="F88" i="6"/>
  <c r="H93" i="6"/>
  <c r="E21" i="6"/>
  <c r="C109" i="6"/>
  <c r="D38" i="6"/>
  <c r="E38" i="6"/>
  <c r="M38" i="6"/>
  <c r="G38" i="6"/>
  <c r="K38" i="6"/>
  <c r="C38" i="6"/>
  <c r="J38" i="6"/>
  <c r="I38" i="6"/>
  <c r="O37" i="6"/>
  <c r="O109" i="6" s="1"/>
  <c r="H38" i="6"/>
  <c r="N38" i="6"/>
  <c r="F38" i="6"/>
  <c r="L38" i="6"/>
  <c r="E109" i="6"/>
  <c r="M85" i="6"/>
  <c r="F85" i="6"/>
  <c r="I85" i="6"/>
  <c r="F113" i="6"/>
  <c r="K109" i="6"/>
  <c r="C21" i="6"/>
  <c r="K113" i="6"/>
  <c r="K101" i="6"/>
  <c r="G109" i="6"/>
  <c r="M109" i="6"/>
  <c r="K88" i="6"/>
  <c r="N109" i="6"/>
  <c r="K33" i="2"/>
  <c r="J68" i="6"/>
  <c r="I20" i="10" s="1"/>
  <c r="I21" i="10" s="1"/>
  <c r="G88" i="6"/>
  <c r="I93" i="6"/>
  <c r="E106" i="6"/>
  <c r="N5" i="6"/>
  <c r="N21" i="6" s="1"/>
  <c r="E113" i="6"/>
  <c r="L109" i="6"/>
  <c r="L93" i="6"/>
  <c r="J113" i="6"/>
  <c r="C88" i="6"/>
  <c r="D88" i="6"/>
  <c r="E88" i="6"/>
  <c r="J32" i="6"/>
  <c r="C32" i="6"/>
  <c r="C103" i="6"/>
  <c r="N32" i="6"/>
  <c r="O31" i="6"/>
  <c r="O103" i="6" s="1"/>
  <c r="G32" i="6"/>
  <c r="H32" i="6"/>
  <c r="K32" i="6"/>
  <c r="E32" i="6"/>
  <c r="M32" i="6"/>
  <c r="L32" i="6"/>
  <c r="D32" i="6"/>
  <c r="F32" i="6"/>
  <c r="I32" i="6"/>
  <c r="H103" i="6"/>
  <c r="F109" i="6"/>
  <c r="G32" i="13"/>
  <c r="G34" i="13" s="1"/>
  <c r="J30" i="1" s="1"/>
  <c r="J36" i="1" s="1"/>
  <c r="E34" i="13"/>
  <c r="H21" i="6"/>
  <c r="F21" i="6"/>
  <c r="D137" i="6"/>
  <c r="C137" i="6"/>
  <c r="N137" i="6"/>
  <c r="F137" i="6"/>
  <c r="L137" i="6"/>
  <c r="G137" i="6"/>
  <c r="K137" i="6"/>
  <c r="H137" i="6"/>
  <c r="I137" i="6"/>
  <c r="E137" i="6"/>
  <c r="J137" i="6"/>
  <c r="M137" i="6"/>
  <c r="B16" i="10"/>
  <c r="B18" i="10" s="1"/>
  <c r="B10" i="10"/>
  <c r="B11" i="10" s="1"/>
  <c r="M21" i="6"/>
  <c r="G21" i="6"/>
  <c r="Q157" i="8"/>
  <c r="D93" i="6"/>
  <c r="K21" i="6"/>
  <c r="I21" i="6"/>
  <c r="O6" i="9"/>
  <c r="L21" i="6"/>
  <c r="I16" i="10"/>
  <c r="I18" i="10" s="1"/>
  <c r="I10" i="10"/>
  <c r="I11" i="10" s="1"/>
  <c r="D21" i="6"/>
  <c r="O71" i="3"/>
  <c r="N79" i="6"/>
  <c r="G79" i="6"/>
  <c r="F79" i="6"/>
  <c r="K79" i="6"/>
  <c r="J79" i="6"/>
  <c r="D79" i="6"/>
  <c r="L79" i="6"/>
  <c r="E79" i="6"/>
  <c r="H79" i="6"/>
  <c r="M79" i="6"/>
  <c r="I79" i="6"/>
  <c r="M10" i="10"/>
  <c r="M11" i="10" s="1"/>
  <c r="M16" i="10"/>
  <c r="M18" i="10" s="1"/>
  <c r="L12" i="10"/>
  <c r="L13" i="10" s="1"/>
  <c r="L20" i="10"/>
  <c r="L21" i="10" s="1"/>
  <c r="M106" i="6"/>
  <c r="K68" i="6"/>
  <c r="K106" i="6"/>
  <c r="I91" i="6"/>
  <c r="I94" i="6" s="1"/>
  <c r="C91" i="6"/>
  <c r="C94" i="6" s="1"/>
  <c r="G91" i="6"/>
  <c r="K91" i="6"/>
  <c r="L91" i="6"/>
  <c r="F91" i="6"/>
  <c r="E91" i="6"/>
  <c r="N91" i="6"/>
  <c r="H91" i="6"/>
  <c r="D91" i="6"/>
  <c r="M91" i="6"/>
  <c r="J91" i="6"/>
  <c r="C93" i="6"/>
  <c r="F68" i="6"/>
  <c r="F72" i="6" s="1"/>
  <c r="E4" i="9" s="1"/>
  <c r="F106" i="6"/>
  <c r="D68" i="6"/>
  <c r="D72" i="6" s="1"/>
  <c r="C4" i="9" s="1"/>
  <c r="D106" i="6"/>
  <c r="D140" i="6" s="1"/>
  <c r="L106" i="6"/>
  <c r="L68" i="6"/>
  <c r="L72" i="6" s="1"/>
  <c r="K4" i="9" s="1"/>
  <c r="O97" i="6"/>
  <c r="M72" i="6"/>
  <c r="L4" i="9" s="1"/>
  <c r="J106" i="6"/>
  <c r="I106" i="6"/>
  <c r="I140" i="6" s="1"/>
  <c r="I68" i="6"/>
  <c r="I72" i="6" s="1"/>
  <c r="H4" i="9" s="1"/>
  <c r="N68" i="6"/>
  <c r="N106" i="6"/>
  <c r="G106" i="6"/>
  <c r="G68" i="6"/>
  <c r="I35" i="6"/>
  <c r="E35" i="6"/>
  <c r="G35" i="6"/>
  <c r="G69" i="6" s="1"/>
  <c r="C68" i="6"/>
  <c r="O34" i="6"/>
  <c r="O106" i="6" s="1"/>
  <c r="D35" i="6"/>
  <c r="C106" i="6"/>
  <c r="H35" i="6"/>
  <c r="J35" i="6"/>
  <c r="N35" i="6"/>
  <c r="M35" i="6"/>
  <c r="F35" i="6"/>
  <c r="L35" i="6"/>
  <c r="C35" i="6"/>
  <c r="K35" i="6"/>
  <c r="H106" i="6"/>
  <c r="H68" i="6"/>
  <c r="H72" i="6" s="1"/>
  <c r="G4" i="9" s="1"/>
  <c r="H98" i="6"/>
  <c r="F98" i="6"/>
  <c r="I98" i="6"/>
  <c r="L98" i="6"/>
  <c r="J98" i="6"/>
  <c r="K98" i="6"/>
  <c r="E98" i="6"/>
  <c r="M98" i="6"/>
  <c r="N98" i="6"/>
  <c r="G98" i="6"/>
  <c r="E68" i="6"/>
  <c r="D69" i="6" l="1"/>
  <c r="N140" i="6"/>
  <c r="K69" i="6"/>
  <c r="G140" i="6"/>
  <c r="G144" i="6" s="1"/>
  <c r="F5" i="9" s="1"/>
  <c r="F7" i="9" s="1"/>
  <c r="F9" i="9" s="1"/>
  <c r="F20" i="12" s="1"/>
  <c r="F140" i="6"/>
  <c r="F144" i="6" s="1"/>
  <c r="E5" i="9" s="1"/>
  <c r="E7" i="9" s="1"/>
  <c r="E9" i="9" s="1"/>
  <c r="E20" i="12" s="1"/>
  <c r="E37" i="9"/>
  <c r="K37" i="9"/>
  <c r="H37" i="9"/>
  <c r="I37" i="9"/>
  <c r="B37" i="9"/>
  <c r="L37" i="9"/>
  <c r="M37" i="9"/>
  <c r="F37" i="9"/>
  <c r="C37" i="9"/>
  <c r="J37" i="9"/>
  <c r="G37" i="9"/>
  <c r="D37" i="9"/>
  <c r="F69" i="6"/>
  <c r="J72" i="6"/>
  <c r="I4" i="9" s="1"/>
  <c r="J140" i="6"/>
  <c r="J144" i="6" s="1"/>
  <c r="I5" i="9" s="1"/>
  <c r="I7" i="9" s="1"/>
  <c r="I9" i="9" s="1"/>
  <c r="I20" i="12" s="1"/>
  <c r="L140" i="6"/>
  <c r="L144" i="6" s="1"/>
  <c r="K5" i="9" s="1"/>
  <c r="K7" i="9" s="1"/>
  <c r="K9" i="9" s="1"/>
  <c r="K20" i="12" s="1"/>
  <c r="I12" i="10"/>
  <c r="J69" i="6"/>
  <c r="J73" i="6" s="1"/>
  <c r="I14" i="9" s="1"/>
  <c r="O20" i="6"/>
  <c r="L94" i="6"/>
  <c r="N110" i="6"/>
  <c r="N72" i="6"/>
  <c r="M4" i="9" s="1"/>
  <c r="F73" i="6"/>
  <c r="E14" i="9" s="1"/>
  <c r="N144" i="6"/>
  <c r="M5" i="9" s="1"/>
  <c r="M7" i="9" s="1"/>
  <c r="M9" i="9" s="1"/>
  <c r="M20" i="12" s="1"/>
  <c r="C69" i="6"/>
  <c r="C73" i="6" s="1"/>
  <c r="B14" i="9" s="1"/>
  <c r="E140" i="6"/>
  <c r="E144" i="6" s="1"/>
  <c r="D5" i="9" s="1"/>
  <c r="D7" i="9" s="1"/>
  <c r="D9" i="9" s="1"/>
  <c r="D20" i="12" s="1"/>
  <c r="L69" i="6"/>
  <c r="L73" i="6" s="1"/>
  <c r="K14" i="9" s="1"/>
  <c r="M69" i="6"/>
  <c r="I144" i="6"/>
  <c r="H5" i="9" s="1"/>
  <c r="H7" i="9" s="1"/>
  <c r="H9" i="9" s="1"/>
  <c r="H20" i="12" s="1"/>
  <c r="N69" i="6"/>
  <c r="N73" i="6" s="1"/>
  <c r="M14" i="9" s="1"/>
  <c r="E69" i="6"/>
  <c r="E73" i="6" s="1"/>
  <c r="D14" i="9" s="1"/>
  <c r="K140" i="6"/>
  <c r="K144" i="6" s="1"/>
  <c r="J5" i="9" s="1"/>
  <c r="J7" i="9" s="1"/>
  <c r="J9" i="9" s="1"/>
  <c r="J20" i="12" s="1"/>
  <c r="I69" i="6"/>
  <c r="I73" i="6" s="1"/>
  <c r="H14" i="9" s="1"/>
  <c r="C110" i="6"/>
  <c r="I110" i="6"/>
  <c r="D110" i="6"/>
  <c r="H110" i="6"/>
  <c r="J110" i="6"/>
  <c r="G110" i="6"/>
  <c r="M110" i="6"/>
  <c r="E110" i="6"/>
  <c r="F110" i="6"/>
  <c r="K110" i="6"/>
  <c r="L110" i="6"/>
  <c r="F64" i="2"/>
  <c r="N104" i="6"/>
  <c r="F104" i="6"/>
  <c r="E104" i="6"/>
  <c r="I104" i="6"/>
  <c r="D104" i="6"/>
  <c r="J104" i="6"/>
  <c r="H104" i="6"/>
  <c r="C104" i="6"/>
  <c r="G104" i="6"/>
  <c r="L104" i="6"/>
  <c r="M104" i="6"/>
  <c r="K104" i="6"/>
  <c r="H140" i="6"/>
  <c r="H144" i="6" s="1"/>
  <c r="G5" i="9" s="1"/>
  <c r="G7" i="9" s="1"/>
  <c r="G9" i="9" s="1"/>
  <c r="G20" i="12" s="1"/>
  <c r="H69" i="6"/>
  <c r="M140" i="6"/>
  <c r="M144" i="6" s="1"/>
  <c r="L5" i="9" s="1"/>
  <c r="L7" i="9" s="1"/>
  <c r="L9" i="9" s="1"/>
  <c r="L20" i="12" s="1"/>
  <c r="K73" i="6"/>
  <c r="J14" i="9" s="1"/>
  <c r="H73" i="6"/>
  <c r="G14" i="9" s="1"/>
  <c r="H94" i="6"/>
  <c r="D94" i="6"/>
  <c r="G73" i="6"/>
  <c r="F14" i="9" s="1"/>
  <c r="D144" i="6"/>
  <c r="C5" i="9" s="1"/>
  <c r="C7" i="9" s="1"/>
  <c r="C9" i="9" s="1"/>
  <c r="C20" i="12" s="1"/>
  <c r="M94" i="6"/>
  <c r="G94" i="6"/>
  <c r="M73" i="6"/>
  <c r="L14" i="9" s="1"/>
  <c r="J94" i="6"/>
  <c r="N94" i="6"/>
  <c r="K94" i="6"/>
  <c r="D73" i="6"/>
  <c r="C14" i="9" s="1"/>
  <c r="I13" i="10"/>
  <c r="F94" i="6"/>
  <c r="E94" i="6"/>
  <c r="F36" i="12"/>
  <c r="F10" i="9"/>
  <c r="F4" i="14" s="1"/>
  <c r="F14" i="14" s="1"/>
  <c r="M10" i="9"/>
  <c r="M4" i="14" s="1"/>
  <c r="D20" i="10"/>
  <c r="D21" i="10" s="1"/>
  <c r="D12" i="10"/>
  <c r="D13" i="10" s="1"/>
  <c r="F20" i="10"/>
  <c r="F21" i="10" s="1"/>
  <c r="F12" i="10"/>
  <c r="F13" i="10" s="1"/>
  <c r="E12" i="10"/>
  <c r="E13" i="10" s="1"/>
  <c r="E20" i="10"/>
  <c r="E21" i="10" s="1"/>
  <c r="J12" i="10"/>
  <c r="J13" i="10" s="1"/>
  <c r="J20" i="10"/>
  <c r="J21" i="10" s="1"/>
  <c r="K72" i="6"/>
  <c r="J4" i="9" s="1"/>
  <c r="B20" i="10"/>
  <c r="B21" i="10" s="1"/>
  <c r="B12" i="10"/>
  <c r="B13" i="10" s="1"/>
  <c r="O140" i="6"/>
  <c r="O144" i="6" s="1"/>
  <c r="N5" i="9" s="1"/>
  <c r="N7" i="9" s="1"/>
  <c r="N9" i="9" s="1"/>
  <c r="G72" i="6"/>
  <c r="F4" i="9" s="1"/>
  <c r="N107" i="6"/>
  <c r="C107" i="6"/>
  <c r="F107" i="6"/>
  <c r="L107" i="6"/>
  <c r="C140" i="6"/>
  <c r="C144" i="6" s="1"/>
  <c r="B5" i="9" s="1"/>
  <c r="E107" i="6"/>
  <c r="I107" i="6"/>
  <c r="H107" i="6"/>
  <c r="M107" i="6"/>
  <c r="J107" i="6"/>
  <c r="D107" i="6"/>
  <c r="K107" i="6"/>
  <c r="K141" i="6" s="1"/>
  <c r="G107" i="6"/>
  <c r="C72" i="6"/>
  <c r="B4" i="9" s="1"/>
  <c r="E72" i="6"/>
  <c r="D4" i="9" s="1"/>
  <c r="L9" i="12"/>
  <c r="M20" i="10"/>
  <c r="M21" i="10" s="1"/>
  <c r="M12" i="10"/>
  <c r="M13" i="10" s="1"/>
  <c r="M29" i="12" s="1"/>
  <c r="C20" i="10"/>
  <c r="C21" i="10" s="1"/>
  <c r="C12" i="10"/>
  <c r="C13" i="10" s="1"/>
  <c r="I9" i="12"/>
  <c r="G20" i="10"/>
  <c r="G21" i="10" s="1"/>
  <c r="G12" i="10"/>
  <c r="G13" i="10" s="1"/>
  <c r="H12" i="10"/>
  <c r="H13" i="10" s="1"/>
  <c r="H20" i="10"/>
  <c r="H21" i="10" s="1"/>
  <c r="I30" i="12" s="1"/>
  <c r="O68" i="6"/>
  <c r="K12" i="10"/>
  <c r="K13" i="10" s="1"/>
  <c r="L29" i="12" s="1"/>
  <c r="K20" i="10"/>
  <c r="K21" i="10" s="1"/>
  <c r="G141" i="6" l="1"/>
  <c r="G145" i="6" s="1"/>
  <c r="F15" i="9" s="1"/>
  <c r="F17" i="9" s="1"/>
  <c r="F19" i="9" s="1"/>
  <c r="E36" i="12"/>
  <c r="E10" i="9"/>
  <c r="E4" i="14" s="1"/>
  <c r="E14" i="14" s="1"/>
  <c r="I141" i="6"/>
  <c r="I145" i="6" s="1"/>
  <c r="H15" i="9" s="1"/>
  <c r="H17" i="9" s="1"/>
  <c r="H19" i="9" s="1"/>
  <c r="I10" i="9"/>
  <c r="I4" i="14" s="1"/>
  <c r="I14" i="14" s="1"/>
  <c r="O72" i="6"/>
  <c r="N4" i="9" s="1"/>
  <c r="E141" i="6"/>
  <c r="C141" i="6"/>
  <c r="C145" i="6" s="1"/>
  <c r="B15" i="9" s="1"/>
  <c r="B17" i="9" s="1"/>
  <c r="B19" i="9" s="1"/>
  <c r="I36" i="12"/>
  <c r="M36" i="12"/>
  <c r="H141" i="6"/>
  <c r="G36" i="12"/>
  <c r="G10" i="9"/>
  <c r="G4" i="14" s="1"/>
  <c r="G14" i="14" s="1"/>
  <c r="K10" i="9"/>
  <c r="K4" i="14" s="1"/>
  <c r="K14" i="14" s="1"/>
  <c r="K36" i="12"/>
  <c r="D36" i="12"/>
  <c r="D10" i="9"/>
  <c r="D4" i="14" s="1"/>
  <c r="D14" i="14" s="1"/>
  <c r="J36" i="12"/>
  <c r="L36" i="12"/>
  <c r="J10" i="9"/>
  <c r="J4" i="14" s="1"/>
  <c r="J14" i="14" s="1"/>
  <c r="L10" i="9"/>
  <c r="L4" i="14" s="1"/>
  <c r="L14" i="14" s="1"/>
  <c r="G103" i="2"/>
  <c r="G117" i="2"/>
  <c r="G96" i="2"/>
  <c r="G99" i="2"/>
  <c r="G74" i="2"/>
  <c r="G100" i="2"/>
  <c r="G114" i="2"/>
  <c r="G91" i="2"/>
  <c r="G118" i="2"/>
  <c r="G97" i="2"/>
  <c r="G72" i="2"/>
  <c r="G106" i="2"/>
  <c r="G80" i="2"/>
  <c r="F125" i="2"/>
  <c r="G110" i="2"/>
  <c r="G87" i="2"/>
  <c r="G98" i="2"/>
  <c r="G85" i="2"/>
  <c r="G92" i="2"/>
  <c r="G81" i="2"/>
  <c r="J12" i="1"/>
  <c r="G109" i="2"/>
  <c r="G105" i="2"/>
  <c r="G119" i="2"/>
  <c r="G73" i="2"/>
  <c r="G102" i="2"/>
  <c r="G88" i="2"/>
  <c r="G76" i="2"/>
  <c r="G83" i="2"/>
  <c r="G107" i="2"/>
  <c r="G104" i="2"/>
  <c r="G78" i="2"/>
  <c r="G113" i="2"/>
  <c r="G115" i="2"/>
  <c r="G101" i="2"/>
  <c r="G71" i="2"/>
  <c r="G111" i="2"/>
  <c r="G120" i="2"/>
  <c r="G89" i="2"/>
  <c r="G116" i="2"/>
  <c r="G82" i="2"/>
  <c r="G112" i="2"/>
  <c r="G75" i="2"/>
  <c r="G108" i="2"/>
  <c r="G90" i="2"/>
  <c r="G122" i="2"/>
  <c r="G93" i="2"/>
  <c r="F141" i="6"/>
  <c r="F145" i="6" s="1"/>
  <c r="E15" i="9" s="1"/>
  <c r="E17" i="9" s="1"/>
  <c r="E19" i="9" s="1"/>
  <c r="J141" i="6"/>
  <c r="J145" i="6" s="1"/>
  <c r="I15" i="9" s="1"/>
  <c r="I17" i="9" s="1"/>
  <c r="I19" i="9" s="1"/>
  <c r="H10" i="9"/>
  <c r="H4" i="14" s="1"/>
  <c r="H14" i="14" s="1"/>
  <c r="L141" i="6"/>
  <c r="L145" i="6" s="1"/>
  <c r="K15" i="9" s="1"/>
  <c r="K17" i="9" s="1"/>
  <c r="K19" i="9" s="1"/>
  <c r="D141" i="6"/>
  <c r="D145" i="6" s="1"/>
  <c r="C15" i="9" s="1"/>
  <c r="C17" i="9" s="1"/>
  <c r="C19" i="9" s="1"/>
  <c r="H36" i="12"/>
  <c r="M141" i="6"/>
  <c r="M145" i="6" s="1"/>
  <c r="L15" i="9" s="1"/>
  <c r="L17" i="9" s="1"/>
  <c r="L19" i="9" s="1"/>
  <c r="N141" i="6"/>
  <c r="N145" i="6" s="1"/>
  <c r="M15" i="9" s="1"/>
  <c r="M17" i="9" s="1"/>
  <c r="M19" i="9" s="1"/>
  <c r="C36" i="12"/>
  <c r="C10" i="9"/>
  <c r="C4" i="14" s="1"/>
  <c r="C14" i="14" s="1"/>
  <c r="H145" i="6"/>
  <c r="G15" i="9" s="1"/>
  <c r="G17" i="9" s="1"/>
  <c r="G19" i="9" s="1"/>
  <c r="I29" i="12"/>
  <c r="I47" i="12" s="1"/>
  <c r="I50" i="12" s="1"/>
  <c r="K145" i="6"/>
  <c r="J15" i="9" s="1"/>
  <c r="J17" i="9" s="1"/>
  <c r="J19" i="9" s="1"/>
  <c r="E145" i="6"/>
  <c r="D15" i="9" s="1"/>
  <c r="D17" i="9" s="1"/>
  <c r="D19" i="9" s="1"/>
  <c r="J8" i="12"/>
  <c r="G9" i="12"/>
  <c r="G30" i="12"/>
  <c r="H9" i="12"/>
  <c r="H30" i="12"/>
  <c r="D8" i="12"/>
  <c r="C29" i="12"/>
  <c r="B29" i="12"/>
  <c r="C8" i="12"/>
  <c r="B8" i="12"/>
  <c r="O5" i="9"/>
  <c r="B7" i="9"/>
  <c r="E9" i="12"/>
  <c r="E30" i="12"/>
  <c r="E8" i="12"/>
  <c r="D29" i="12"/>
  <c r="M8" i="12"/>
  <c r="K30" i="12"/>
  <c r="K9" i="12"/>
  <c r="H29" i="12"/>
  <c r="I8" i="12"/>
  <c r="I27" i="12" s="1"/>
  <c r="I49" i="12" s="1"/>
  <c r="H8" i="12"/>
  <c r="G29" i="12"/>
  <c r="C9" i="12"/>
  <c r="C30" i="12"/>
  <c r="L30" i="12"/>
  <c r="B30" i="12"/>
  <c r="B9" i="12"/>
  <c r="J30" i="12"/>
  <c r="J9" i="12"/>
  <c r="E29" i="12"/>
  <c r="F8" i="12"/>
  <c r="D30" i="12"/>
  <c r="D9" i="12"/>
  <c r="O4" i="9"/>
  <c r="K8" i="12"/>
  <c r="J29" i="12"/>
  <c r="G8" i="12"/>
  <c r="F29" i="12"/>
  <c r="K29" i="12"/>
  <c r="L8" i="12"/>
  <c r="L27" i="12" s="1"/>
  <c r="L49" i="12" s="1"/>
  <c r="E20" i="13"/>
  <c r="G20" i="13" s="1"/>
  <c r="M9" i="12"/>
  <c r="M30" i="12"/>
  <c r="F9" i="12"/>
  <c r="F30" i="12"/>
  <c r="J47" i="12" l="1"/>
  <c r="J50" i="12" s="1"/>
  <c r="L47" i="12"/>
  <c r="L50" i="12" s="1"/>
  <c r="F127" i="2"/>
  <c r="J17" i="1"/>
  <c r="J22" i="1"/>
  <c r="J20" i="1"/>
  <c r="J23" i="1"/>
  <c r="J21" i="1"/>
  <c r="N8" i="12"/>
  <c r="N9" i="12"/>
  <c r="G27" i="12"/>
  <c r="G49" i="12" s="1"/>
  <c r="J27" i="12"/>
  <c r="J49" i="12" s="1"/>
  <c r="K47" i="12"/>
  <c r="K50" i="12" s="1"/>
  <c r="H47" i="12"/>
  <c r="H50" i="12" s="1"/>
  <c r="E47" i="12"/>
  <c r="E50" i="12" s="1"/>
  <c r="G47" i="12"/>
  <c r="G50" i="12" s="1"/>
  <c r="K27" i="12"/>
  <c r="K49" i="12" s="1"/>
  <c r="F47" i="12"/>
  <c r="F50" i="12" s="1"/>
  <c r="M27" i="12"/>
  <c r="M49" i="12" s="1"/>
  <c r="D27" i="12"/>
  <c r="D49" i="12" s="1"/>
  <c r="F27" i="12"/>
  <c r="F49" i="12" s="1"/>
  <c r="C27" i="12"/>
  <c r="C49" i="12" s="1"/>
  <c r="N30" i="12"/>
  <c r="D47" i="12"/>
  <c r="D50" i="12" s="1"/>
  <c r="O7" i="9"/>
  <c r="B9" i="9"/>
  <c r="N29" i="12"/>
  <c r="H27" i="12"/>
  <c r="H49" i="12" s="1"/>
  <c r="E27" i="12"/>
  <c r="E49" i="12" s="1"/>
  <c r="C47" i="12"/>
  <c r="C50" i="12" s="1"/>
  <c r="M33" i="13" l="1"/>
  <c r="N10" i="9"/>
  <c r="M46" i="12"/>
  <c r="M36" i="13"/>
  <c r="M16" i="13"/>
  <c r="M18" i="13" s="1"/>
  <c r="O33" i="13"/>
  <c r="B20" i="12"/>
  <c r="B36" i="12"/>
  <c r="G131" i="2"/>
  <c r="J18" i="1"/>
  <c r="M12" i="14"/>
  <c r="M14" i="14" s="1"/>
  <c r="N46" i="12"/>
  <c r="M47" i="12"/>
  <c r="M50" i="12" s="1"/>
  <c r="B10" i="9"/>
  <c r="O9" i="9"/>
  <c r="O16" i="13" l="1"/>
  <c r="N20" i="12"/>
  <c r="B27" i="12"/>
  <c r="N36" i="12"/>
  <c r="B47" i="12"/>
  <c r="O10" i="9"/>
  <c r="B4" i="14"/>
  <c r="B14" i="14" l="1"/>
  <c r="N4" i="14"/>
  <c r="B50" i="12"/>
  <c r="N50" i="12" s="1"/>
  <c r="N47" i="12"/>
  <c r="B49" i="12"/>
  <c r="N27" i="12"/>
  <c r="O36" i="13" l="1"/>
  <c r="O37" i="13" s="1"/>
  <c r="J26" i="1" s="1"/>
  <c r="M37" i="13"/>
  <c r="B51" i="12"/>
  <c r="B53" i="12" s="1"/>
  <c r="C48" i="12" s="1"/>
  <c r="N49" i="12"/>
  <c r="C51" i="12" l="1"/>
  <c r="C53" i="12" s="1"/>
  <c r="D48" i="12" s="1"/>
  <c r="D51" i="12" s="1"/>
  <c r="D53" i="12" s="1"/>
  <c r="E48" i="12" s="1"/>
  <c r="E51" i="12" s="1"/>
  <c r="E53" i="12" s="1"/>
  <c r="F48" i="12" s="1"/>
  <c r="F51" i="12" s="1"/>
  <c r="F53" i="12" s="1"/>
  <c r="G48" i="12" s="1"/>
  <c r="G51" i="12" s="1"/>
  <c r="G53" i="12" s="1"/>
  <c r="H48" i="12" s="1"/>
  <c r="H51" i="12" s="1"/>
  <c r="H53" i="12" s="1"/>
  <c r="I48" i="12" s="1"/>
  <c r="I51" i="12" s="1"/>
  <c r="I53" i="12" s="1"/>
  <c r="J48" i="12" s="1"/>
  <c r="J51" i="12" s="1"/>
  <c r="J53" i="12" s="1"/>
  <c r="K48" i="12" s="1"/>
  <c r="K51" i="12" s="1"/>
  <c r="K53" i="12" s="1"/>
  <c r="L48" i="12" s="1"/>
  <c r="L51" i="12" s="1"/>
  <c r="L53" i="12" s="1"/>
  <c r="M48" i="12" s="1"/>
  <c r="M51" i="12" s="1"/>
  <c r="M53" i="12" s="1"/>
  <c r="G8" i="13" l="1"/>
  <c r="E8" i="13" s="1"/>
  <c r="G132" i="2"/>
  <c r="N48" i="12"/>
  <c r="E10" i="13" l="1"/>
  <c r="G10" i="13" s="1"/>
  <c r="E22" i="13" l="1"/>
  <c r="E39" i="13" s="1"/>
  <c r="J31" i="1"/>
  <c r="G22" i="13"/>
  <c r="J27" i="1" l="1"/>
  <c r="G39" i="13"/>
  <c r="J25" i="1" l="1"/>
  <c r="J33" i="1" s="1"/>
  <c r="O9" i="13"/>
  <c r="O18" i="13" s="1"/>
  <c r="K30" i="13"/>
  <c r="K39" i="13"/>
  <c r="K42" i="13" s="1"/>
  <c r="B13" i="14"/>
  <c r="B15" i="14" s="1"/>
  <c r="C13" i="14" l="1"/>
  <c r="C15" i="14" s="1"/>
  <c r="D13" i="14" s="1"/>
  <c r="D15" i="14" s="1"/>
  <c r="E13" i="14" s="1"/>
  <c r="E15" i="14" s="1"/>
  <c r="F13" i="14" s="1"/>
  <c r="F15" i="14" s="1"/>
  <c r="G13" i="14" s="1"/>
  <c r="G15" i="14" s="1"/>
  <c r="H13" i="14" s="1"/>
  <c r="H15" i="14" s="1"/>
  <c r="I13" i="14" s="1"/>
  <c r="I15" i="14" s="1"/>
  <c r="J13" i="14" s="1"/>
  <c r="J15" i="14" s="1"/>
  <c r="K13" i="14" s="1"/>
  <c r="K15" i="14" s="1"/>
  <c r="L13" i="14" s="1"/>
  <c r="L15" i="14" s="1"/>
  <c r="M13" i="14" s="1"/>
  <c r="M15" i="14" s="1"/>
  <c r="J28" i="1"/>
  <c r="J35" i="1" s="1"/>
  <c r="O30" i="13"/>
  <c r="O39" i="13" s="1"/>
  <c r="O41" i="13" s="1"/>
  <c r="N17" i="14" l="1"/>
  <c r="G133" i="2" s="1"/>
  <c r="J34" i="1"/>
  <c r="M17" i="14" s="1"/>
  <c r="M30" i="13"/>
  <c r="M39" i="13" s="1"/>
</calcChain>
</file>

<file path=xl/sharedStrings.xml><?xml version="1.0" encoding="utf-8"?>
<sst xmlns="http://schemas.openxmlformats.org/spreadsheetml/2006/main" count="1180" uniqueCount="426">
  <si>
    <t>BUDGET</t>
  </si>
  <si>
    <t>SALES</t>
  </si>
  <si>
    <t>GROSS INCOME</t>
  </si>
  <si>
    <t>PERSONNEL EXPENSE</t>
  </si>
  <si>
    <t>FIXED EXPENSE</t>
  </si>
  <si>
    <t>OTHER EXPENSE</t>
  </si>
  <si>
    <t xml:space="preserve"> </t>
  </si>
  <si>
    <t>TOTAL EXPENSE</t>
  </si>
  <si>
    <t>LOCAL SAVINGS</t>
  </si>
  <si>
    <t>TOTAL SAVINGS</t>
  </si>
  <si>
    <t>PERSONNEL/INCOME</t>
  </si>
  <si>
    <t>FIXED/GROSS INCOME</t>
  </si>
  <si>
    <t>OTHER EXP/INCOME</t>
  </si>
  <si>
    <t>TOTAL EXP/INCOME</t>
  </si>
  <si>
    <t>TOTAL ASSETS</t>
  </si>
  <si>
    <t>MEMBERS EQUITY</t>
  </si>
  <si>
    <t>CURRENT ASSETS</t>
  </si>
  <si>
    <t>CURRENT LIABILITIES</t>
  </si>
  <si>
    <t>LONG TERM DEBT</t>
  </si>
  <si>
    <t>FIXED ASSETS</t>
  </si>
  <si>
    <t>ACCOUNTS RECEIVABLE</t>
  </si>
  <si>
    <t>WORKING CAPITAL</t>
  </si>
  <si>
    <t>WC RATIO</t>
  </si>
  <si>
    <t>DEBT / FIXED ASSETS</t>
  </si>
  <si>
    <t>DISCLAIMER:</t>
  </si>
  <si>
    <t>1.  The following figures are representations of management and are not intended for distribution.</t>
  </si>
  <si>
    <t xml:space="preserve"> 2.  The accuracy of this budget is dependent on future events.</t>
  </si>
  <si>
    <t xml:space="preserve"> 3.  Care has been taken in preparing this information and developing the "most likely" to happen scenario.</t>
  </si>
  <si>
    <t xml:space="preserve"> 4.  No liability is assumed for events in the future.</t>
  </si>
  <si>
    <t xml:space="preserve"> 5.  No attempt has been made to determine if the capital assets comply with government regulations now in effect.</t>
  </si>
  <si>
    <t>Farmers Grain Company</t>
  </si>
  <si>
    <t>Pond Creek</t>
  </si>
  <si>
    <t>DATE:</t>
  </si>
  <si>
    <t>PAGE 1</t>
  </si>
  <si>
    <t>COMMODITY</t>
  </si>
  <si>
    <t>ACTUAL</t>
  </si>
  <si>
    <t xml:space="preserve">UNIT </t>
  </si>
  <si>
    <t>UNITS</t>
  </si>
  <si>
    <t>UNIT/SALES</t>
  </si>
  <si>
    <t>MARGINS</t>
  </si>
  <si>
    <t>%MARGIN</t>
  </si>
  <si>
    <t>Wheat</t>
  </si>
  <si>
    <t>Oats</t>
  </si>
  <si>
    <t>Milo</t>
  </si>
  <si>
    <t>Corn</t>
  </si>
  <si>
    <t>Soybeans</t>
  </si>
  <si>
    <t>Feed</t>
  </si>
  <si>
    <t>Merchandise</t>
  </si>
  <si>
    <t>Fertilizer</t>
  </si>
  <si>
    <t>Chemical</t>
  </si>
  <si>
    <t>Lime</t>
  </si>
  <si>
    <t>Seed</t>
  </si>
  <si>
    <t>Propane</t>
  </si>
  <si>
    <t>Gasoline</t>
  </si>
  <si>
    <t>Diesel</t>
  </si>
  <si>
    <t>Oil and grease</t>
  </si>
  <si>
    <t>GRAIN</t>
  </si>
  <si>
    <t>SUPPLIES</t>
  </si>
  <si>
    <t>TOTAL MARGIN</t>
  </si>
  <si>
    <t>OTHER INCOME</t>
  </si>
  <si>
    <t>TOTAL</t>
  </si>
  <si>
    <t>OTHER INCOME:</t>
  </si>
  <si>
    <t>Labor</t>
  </si>
  <si>
    <t>Cleaning and Treating Income</t>
  </si>
  <si>
    <t>Blending</t>
  </si>
  <si>
    <t>Storage</t>
  </si>
  <si>
    <t>Misc</t>
  </si>
  <si>
    <t>Discounts</t>
  </si>
  <si>
    <t>Delivery</t>
  </si>
  <si>
    <t>Milling</t>
  </si>
  <si>
    <t>Handling</t>
  </si>
  <si>
    <t>Equip Rent</t>
  </si>
  <si>
    <t>Interest</t>
  </si>
  <si>
    <t>Life ins value</t>
  </si>
  <si>
    <t>Application</t>
  </si>
  <si>
    <t>Asset sales</t>
  </si>
  <si>
    <t>LLC</t>
  </si>
  <si>
    <t>EMA grain</t>
  </si>
  <si>
    <t>Freight</t>
  </si>
  <si>
    <t>Finance charge</t>
  </si>
  <si>
    <t>Rental</t>
  </si>
  <si>
    <t>Fuel hedge</t>
  </si>
  <si>
    <t>TOTAL OTHER INCOME</t>
  </si>
  <si>
    <t>%INCOME</t>
  </si>
  <si>
    <t>Salaries</t>
  </si>
  <si>
    <t>Payroll Tax</t>
  </si>
  <si>
    <t>Group Insurance</t>
  </si>
  <si>
    <t>Retirement</t>
  </si>
  <si>
    <t>Contract labor</t>
  </si>
  <si>
    <t>Comp absences</t>
  </si>
  <si>
    <t>TOTAL PERSONNEL</t>
  </si>
  <si>
    <t>Depreciation</t>
  </si>
  <si>
    <t>Property Tax</t>
  </si>
  <si>
    <t>Insurance</t>
  </si>
  <si>
    <t>TOTAL FIXED</t>
  </si>
  <si>
    <t>Annual meeting</t>
  </si>
  <si>
    <t>Director fees</t>
  </si>
  <si>
    <t>Fuel</t>
  </si>
  <si>
    <t>Data</t>
  </si>
  <si>
    <t>Repairs</t>
  </si>
  <si>
    <t>Other supplies</t>
  </si>
  <si>
    <t>Operatiing</t>
  </si>
  <si>
    <t>Utilities</t>
  </si>
  <si>
    <t>Educational</t>
  </si>
  <si>
    <t>Telephone</t>
  </si>
  <si>
    <t>Lic</t>
  </si>
  <si>
    <t>Audit</t>
  </si>
  <si>
    <t>Meal</t>
  </si>
  <si>
    <t>Advertising</t>
  </si>
  <si>
    <t>donations</t>
  </si>
  <si>
    <t>Meeting</t>
  </si>
  <si>
    <t>Dues</t>
  </si>
  <si>
    <t>Farm plan</t>
  </si>
  <si>
    <t>Travel</t>
  </si>
  <si>
    <t>Tags</t>
  </si>
  <si>
    <t>Lease</t>
  </si>
  <si>
    <t>Mkt service</t>
  </si>
  <si>
    <t>Credit card</t>
  </si>
  <si>
    <t>Fumigants</t>
  </si>
  <si>
    <t>Bad debt</t>
  </si>
  <si>
    <t>TOTAL OTHER</t>
  </si>
  <si>
    <t>TOTAL EXPENSES</t>
  </si>
  <si>
    <t>FARM SUPPLY</t>
  </si>
  <si>
    <t>SUB TOTAL GRAIN</t>
  </si>
  <si>
    <t>UNIT MARGIN</t>
  </si>
  <si>
    <t>Input volume, price and per unit margin</t>
  </si>
  <si>
    <t>Tires batteries and acces</t>
  </si>
  <si>
    <t>For these items sales and margins are estimated based on units and unit margins</t>
  </si>
  <si>
    <t>For these items margins are estimated based on total sales and the percent margin</t>
  </si>
  <si>
    <t>ESTIMATE</t>
  </si>
  <si>
    <t>Sales are calculated from price and volume</t>
  </si>
  <si>
    <t>Margin is calculated from unit margin and volume</t>
  </si>
  <si>
    <t>Inputs for Sensitivity Analysis</t>
  </si>
  <si>
    <t>Supply price inflation</t>
  </si>
  <si>
    <t>Expense inflation</t>
  </si>
  <si>
    <t>Grain price inflation</t>
  </si>
  <si>
    <t>Grain volume change</t>
  </si>
  <si>
    <t>Supply volume change</t>
  </si>
  <si>
    <t>5 Yr Avg</t>
  </si>
  <si>
    <t>JAN</t>
  </si>
  <si>
    <t>FEB</t>
  </si>
  <si>
    <t>MAR</t>
  </si>
  <si>
    <t>APRIL</t>
  </si>
  <si>
    <t>MAY</t>
  </si>
  <si>
    <t>JUN</t>
  </si>
  <si>
    <t>JUL</t>
  </si>
  <si>
    <t>AUG</t>
  </si>
  <si>
    <t>SEPT</t>
  </si>
  <si>
    <t>OCT</t>
  </si>
  <si>
    <t>NOV</t>
  </si>
  <si>
    <t>DEC</t>
  </si>
  <si>
    <t>Income 1</t>
  </si>
  <si>
    <t>income 22</t>
  </si>
  <si>
    <t>income 23</t>
  </si>
  <si>
    <t>income 24</t>
  </si>
  <si>
    <t>income 25</t>
  </si>
  <si>
    <t>income 26</t>
  </si>
  <si>
    <t>Enter the percentage sales for each month.  You may enter the prior year's monthly and see the calculated percentage or just enter a percentage</t>
  </si>
  <si>
    <t>Prior Yr</t>
  </si>
  <si>
    <t>% for Budget</t>
  </si>
  <si>
    <t>%/from Prior Yr</t>
  </si>
  <si>
    <t>Prior Year</t>
  </si>
  <si>
    <t>% from Prior Year</t>
  </si>
  <si>
    <t>% to Use for Budget</t>
  </si>
  <si>
    <t>Budget</t>
  </si>
  <si>
    <t>YTD</t>
  </si>
  <si>
    <t>YTD Actual</t>
  </si>
  <si>
    <t>MARGIN BUDGET</t>
  </si>
  <si>
    <t>Per exp 7</t>
  </si>
  <si>
    <t>Fixed 5</t>
  </si>
  <si>
    <t>E8</t>
  </si>
  <si>
    <t>E9</t>
  </si>
  <si>
    <t>E10</t>
  </si>
  <si>
    <t>E29</t>
  </si>
  <si>
    <t>E30</t>
  </si>
  <si>
    <t>E31</t>
  </si>
  <si>
    <t>E32</t>
  </si>
  <si>
    <t>E33</t>
  </si>
  <si>
    <t>TOTAL INCOME</t>
  </si>
  <si>
    <t>Trend</t>
  </si>
  <si>
    <t>EXPENSES</t>
  </si>
  <si>
    <t>Sub Total Grain</t>
  </si>
  <si>
    <t>Sub Total Farm Supply</t>
  </si>
  <si>
    <t>FS 7</t>
  </si>
  <si>
    <t>FS 13</t>
  </si>
  <si>
    <t>FS 14</t>
  </si>
  <si>
    <t>Sub Total Income</t>
  </si>
  <si>
    <t>Total Personel</t>
  </si>
  <si>
    <t>Ytd Actual</t>
  </si>
  <si>
    <t>Sub Total Expense</t>
  </si>
  <si>
    <t>TOTAL SALES</t>
  </si>
  <si>
    <t>MONTHLY BUDGET</t>
  </si>
  <si>
    <t>YEAR TO DATE BUDGET</t>
  </si>
  <si>
    <t>ACTUAL MONTHLY</t>
  </si>
  <si>
    <t>ACTUAL YEAR TO DATE</t>
  </si>
  <si>
    <t>AR Prior Year</t>
  </si>
  <si>
    <t>Supply Sales Prior Year</t>
  </si>
  <si>
    <t>AR % Sales Prior Year</t>
  </si>
  <si>
    <t>AR % Sales for Budget</t>
  </si>
  <si>
    <t>Supply Inventory Prior Year</t>
  </si>
  <si>
    <t>AR Budget</t>
  </si>
  <si>
    <t>Inventory % sales for budget</t>
  </si>
  <si>
    <t>Budgeted supply sales</t>
  </si>
  <si>
    <t>Budgeted inventory</t>
  </si>
  <si>
    <t>BUDGETED CAPITAL EXPENDITURES</t>
  </si>
  <si>
    <t>SOURCE</t>
  </si>
  <si>
    <t>Dec Acc Rec</t>
  </si>
  <si>
    <t>Dec Inv</t>
  </si>
  <si>
    <t>Inc Acc Pay</t>
  </si>
  <si>
    <t>Local Savings</t>
  </si>
  <si>
    <t>Regional Refund</t>
  </si>
  <si>
    <t>Stock Retire</t>
  </si>
  <si>
    <t>Other</t>
  </si>
  <si>
    <t>USE</t>
  </si>
  <si>
    <t>Inc Acc Rec</t>
  </si>
  <si>
    <t>Inc Inv</t>
  </si>
  <si>
    <t>Fixed Asstes</t>
  </si>
  <si>
    <t>Pay Acc Pay</t>
  </si>
  <si>
    <t>Local Loss</t>
  </si>
  <si>
    <t>BEG CASH</t>
  </si>
  <si>
    <t>ADD SOURCE</t>
  </si>
  <si>
    <t>LESS USE</t>
  </si>
  <si>
    <t>END CASH</t>
  </si>
  <si>
    <t>+/- OP LOAN</t>
  </si>
  <si>
    <t>OP LOAN BAL</t>
  </si>
  <si>
    <t>TOTAL SOURCES</t>
  </si>
  <si>
    <t>Reg Stock Retire</t>
  </si>
  <si>
    <t>TOTAL USE</t>
  </si>
  <si>
    <t>CHANGE</t>
  </si>
  <si>
    <t>CASH</t>
  </si>
  <si>
    <t>A\R CR BAL</t>
  </si>
  <si>
    <t>ACC PAY</t>
  </si>
  <si>
    <t>ACC REC</t>
  </si>
  <si>
    <t>OTHER PAY</t>
  </si>
  <si>
    <t>BAD DEBT ALL</t>
  </si>
  <si>
    <t>ACC EXPENSES</t>
  </si>
  <si>
    <t>NOTE REC</t>
  </si>
  <si>
    <t>GRAIN PAY</t>
  </si>
  <si>
    <t>GRAIN REC</t>
  </si>
  <si>
    <t>STORAGE REC</t>
  </si>
  <si>
    <t>NOTE PAY</t>
  </si>
  <si>
    <t>OTHER REC</t>
  </si>
  <si>
    <t>OPERATING LOAN</t>
  </si>
  <si>
    <t xml:space="preserve">OTHER   </t>
  </si>
  <si>
    <t>PREPAID EXP</t>
  </si>
  <si>
    <t>INVENTORY</t>
  </si>
  <si>
    <t>CURRENT LIAB</t>
  </si>
  <si>
    <t>OTHER ASSETS</t>
  </si>
  <si>
    <t>LAND</t>
  </si>
  <si>
    <t>TOTAL LIAB</t>
  </si>
  <si>
    <t>BLDG &amp; EQUIP</t>
  </si>
  <si>
    <t>LESS: ACC DEPR</t>
  </si>
  <si>
    <t>STOCK</t>
  </si>
  <si>
    <t xml:space="preserve">  </t>
  </si>
  <si>
    <t>CREDITS</t>
  </si>
  <si>
    <t>NET FIXED ASSETS</t>
  </si>
  <si>
    <t>RET SAVINGS</t>
  </si>
  <si>
    <t>SAVINGS</t>
  </si>
  <si>
    <t>TOTAL M/E</t>
  </si>
  <si>
    <t>LIAB &amp; M/E</t>
  </si>
  <si>
    <t>BALANCE SHEET</t>
  </si>
  <si>
    <t>TOTAL OTHER ASSETS</t>
  </si>
  <si>
    <t>The lines that require entering by section if used are:</t>
  </si>
  <si>
    <t>SOURCE-</t>
  </si>
  <si>
    <t>Inc Acc Pay, Term Loan, Grain Rec, Stock Retire, Other &amp; Other.</t>
  </si>
  <si>
    <t xml:space="preserve">USE - </t>
  </si>
  <si>
    <t xml:space="preserve">Pay Acc Pay, Pay Loan, Pay Loan, Pay Loan, Grain Pay, </t>
  </si>
  <si>
    <t>Investments, Stock Retire, &amp; Patronage Pay.</t>
  </si>
  <si>
    <t>LOWER SECTION - enter the line for "+/- OP LOAN".</t>
  </si>
  <si>
    <t>loan borrowed and paid)</t>
  </si>
  <si>
    <t>TOTAL SALES/MARGIN</t>
  </si>
  <si>
    <t>REGIONAL PATROANGE</t>
  </si>
  <si>
    <t>year variables for trend analysis</t>
  </si>
  <si>
    <t>PRIOR YEAR EXPENSES</t>
  </si>
  <si>
    <t>% CHANGE</t>
  </si>
  <si>
    <t>The Previous year is calculated from the previous year summary sheet</t>
  </si>
  <si>
    <t>The budget is calculated based on estimates in the previous year summary sheet</t>
  </si>
  <si>
    <t>WORKING CAPITAL WORKSHEET AND BUDGET</t>
  </si>
  <si>
    <t>DEPRECIATION</t>
  </si>
  <si>
    <t>INCREASE TERM DEBT</t>
  </si>
  <si>
    <t>COLLECT NOTES</t>
  </si>
  <si>
    <t>PAY TERM DEBT</t>
  </si>
  <si>
    <t>BUY ASSETS</t>
  </si>
  <si>
    <t>INCREASE REG STOCK</t>
  </si>
  <si>
    <t>STOCK RETIREMEN T</t>
  </si>
  <si>
    <t>Invest Reg Coop</t>
  </si>
  <si>
    <t>BEGINNING W.C.</t>
  </si>
  <si>
    <t>ENDING W.C</t>
  </si>
  <si>
    <t>CHANGE W.C.</t>
  </si>
  <si>
    <t>Regional refund</t>
  </si>
  <si>
    <t>%cash</t>
  </si>
  <si>
    <t>%stock</t>
  </si>
  <si>
    <t>%UNALLOC</t>
  </si>
  <si>
    <t>CASH PATRONAGE</t>
  </si>
  <si>
    <t>SENSITIVITY ANALYSIS</t>
  </si>
  <si>
    <t>GRAIN VOLUME CHANGE</t>
  </si>
  <si>
    <t>GRAN PRICE CHANGE</t>
  </si>
  <si>
    <t>FERTILIZER VOLUME CHANGE</t>
  </si>
  <si>
    <t>FERTILZIER PRICE CHANGE</t>
  </si>
  <si>
    <t>ENDING CASH FLOW</t>
  </si>
  <si>
    <t>AVERAGE</t>
  </si>
  <si>
    <t>DATE</t>
  </si>
  <si>
    <t>(Optional) Light Green cells represent the $ amount of sales in each month for each item</t>
  </si>
  <si>
    <t>The Dark Green cells are the % that goes into the budget; they can be changed to match the white cells above them</t>
  </si>
  <si>
    <t>Enter historical info on this page in the light green cells</t>
  </si>
  <si>
    <t>This data flows through into other sheets to spread over 12 months</t>
  </si>
  <si>
    <t>Monthly Sales Worksheet</t>
  </si>
  <si>
    <t>5 Year History</t>
  </si>
  <si>
    <t>Prior Year Summary</t>
  </si>
  <si>
    <t>Monthly Income Worksheet</t>
  </si>
  <si>
    <t>Monthly Expense Worksheet</t>
  </si>
  <si>
    <t>Sales Budget</t>
  </si>
  <si>
    <t>Income Budget</t>
  </si>
  <si>
    <t>Expense Budget</t>
  </si>
  <si>
    <t>Profit Summary</t>
  </si>
  <si>
    <t>Acc Rec Worksheet</t>
  </si>
  <si>
    <t xml:space="preserve">Fixed Asset Worksheet </t>
  </si>
  <si>
    <t>Balance Sheet</t>
  </si>
  <si>
    <t>Cashflow</t>
  </si>
  <si>
    <t>Working Capital</t>
  </si>
  <si>
    <t>Here is the order to go through the sheets</t>
  </si>
  <si>
    <t>Instructions are found on each sheet</t>
  </si>
  <si>
    <t>The White cells display the percentage sales from the prior year for each month.  These can be used as references when adjusting Dark Green</t>
  </si>
  <si>
    <t>Input and capital expenditures that are expected during the current year</t>
  </si>
  <si>
    <t>Input Sheets</t>
  </si>
  <si>
    <t>Back to Instructions</t>
  </si>
  <si>
    <t>Pay Loan Co Bank</t>
  </si>
  <si>
    <t>Pay Loan Note 2</t>
  </si>
  <si>
    <t>Pay Loan Note 3</t>
  </si>
  <si>
    <t>Pay Loan Note 4</t>
  </si>
  <si>
    <t>Anytown Cooperative</t>
  </si>
  <si>
    <t>Cooperative Budget Template</t>
  </si>
  <si>
    <t>SALES BUDGET</t>
  </si>
  <si>
    <t>Enter the units, sales dollars, and budgeted unit and margins as shown in the green cells</t>
  </si>
  <si>
    <t>You can use the estimate from percentage change  a guide to the budgeted amount</t>
  </si>
  <si>
    <t xml:space="preserve">The total is transferred from the prior year summary </t>
  </si>
  <si>
    <t>December is calculated to balance with the total</t>
  </si>
  <si>
    <t>In this example many of the light green cell entries were calculated as perecentage of the prior year</t>
  </si>
  <si>
    <t>Output Sheets</t>
  </si>
  <si>
    <t>Total for Year</t>
  </si>
  <si>
    <t>INVESTMENTS REGIONAL</t>
  </si>
  <si>
    <t>Supply Inventory ;prior</t>
  </si>
  <si>
    <t>Inventory as % sales prio</t>
  </si>
  <si>
    <t>You can enter last year's monthly AR and see the historical percentage of AR to Supply Sales</t>
  </si>
  <si>
    <t>In a similar fashion you can enter historic inventory and see the historic inventory to sales.  The budgeted inventory is calculated off of the inventory/supply sales percentage you enter in the green cells</t>
  </si>
  <si>
    <t>This sheet is used to determine monthly accounts receivable which is calculated as a percentage of your budgeted farm supply sales</t>
  </si>
  <si>
    <t xml:space="preserve">The budgeted AR are based on the percentage you enter in the green cell.  </t>
  </si>
  <si>
    <t>Increase term loan Cobank</t>
  </si>
  <si>
    <t>Increase term loan 2</t>
  </si>
  <si>
    <t>Increase term loan 3</t>
  </si>
  <si>
    <t>Increase term loan 4</t>
  </si>
  <si>
    <t>Total Increase terms loans</t>
  </si>
  <si>
    <t>Total Payments term loans</t>
  </si>
  <si>
    <t>CoBank Term Loan</t>
  </si>
  <si>
    <t>Term Loan 2</t>
  </si>
  <si>
    <t>Term Loan 3</t>
  </si>
  <si>
    <t>Term Loan 4</t>
  </si>
  <si>
    <t>TOTAL TERM LIAB</t>
  </si>
  <si>
    <t>Increase in grain rec</t>
  </si>
  <si>
    <t>Inc Notes Pay</t>
  </si>
  <si>
    <t>Pay Notes Pay</t>
  </si>
  <si>
    <t>Patronage Payment</t>
  </si>
  <si>
    <t>PAtTONAGE PAYABLE</t>
  </si>
  <si>
    <t>Dec notes rec</t>
  </si>
  <si>
    <t>Inc notes rec</t>
  </si>
  <si>
    <t>Investment in other assets</t>
  </si>
  <si>
    <t>Decrease other assets</t>
  </si>
  <si>
    <t>Inc Grain Pay</t>
  </si>
  <si>
    <t>Dec grain rec</t>
  </si>
  <si>
    <t>Inc grain rec</t>
  </si>
  <si>
    <t>Inc grain pay</t>
  </si>
  <si>
    <t>TERM LIABILITIES</t>
  </si>
  <si>
    <t>Note:  Most of the changes in asset and liabiliies from the prior year</t>
  </si>
  <si>
    <t>are transferred from the cash flow statement</t>
  </si>
  <si>
    <t>In order to simplify the cash flow sheet not every possible change is considered</t>
  </si>
  <si>
    <t>and are usually assumed to remain at their prior year level</t>
  </si>
  <si>
    <t>You can make changes in these categories in this sheet however you must put in</t>
  </si>
  <si>
    <t>an adjustment to cash for the balance sheet to balance</t>
  </si>
  <si>
    <t>Note that the change is not reflected on the cash flow statement which could</t>
  </si>
  <si>
    <t>result in actual cash flow differeing from the budgeted projection</t>
  </si>
  <si>
    <t>Adjustment in cash from increaseing an asset or descreasing a liability</t>
  </si>
  <si>
    <t>Adjustment in cash from decreasing an asset or increasing a liability</t>
  </si>
  <si>
    <t>Much of the cash flow information is automatically transferred from the income and expense and other worksheets</t>
  </si>
  <si>
    <t>After you have made the entries you will likely need to enter increases or descreases on the seasonal loan at the bottom to maintain cash flow.  This helps you estimate the line of seasonal credit you will need</t>
  </si>
  <si>
    <t>1/12 =</t>
  </si>
  <si>
    <t>The five year average, trend and ratio analyis is provided to help you determine if the budget is reasonable</t>
  </si>
  <si>
    <t>and meets your goals.  The average and trend is not used in the budget projections.</t>
  </si>
  <si>
    <t>This templates assists you in creating a sales budget, income budget, expense budget, profit summary and working capital summary</t>
  </si>
  <si>
    <t xml:space="preserve">The sales, other income and expense budgets are created from volume, margin, income and expense estimates entered by the user.  </t>
  </si>
  <si>
    <t xml:space="preserve">These are entered on the prior year summary sheet so that the user can consider the volume and margins from the previous year </t>
  </si>
  <si>
    <t>in making the budget projections.</t>
  </si>
  <si>
    <t>The monthly sales, income and expense budgets are created using percentage allocations for each month.  The previous year's</t>
  </si>
  <si>
    <t>information can be entered to see the prior year's monthly percentage as a guide.</t>
  </si>
  <si>
    <t>The accounts recievable and inventory budgets are based on an inputed percentage of accounts receivable and inventory as a</t>
  </si>
  <si>
    <t>percent of farm supply sales.  The actual monthly inventory, accounts receivable and farm supply sales from the previous year</t>
  </si>
  <si>
    <t>can be entered to see the AR/supply sales and Inventory/supply sales ratios by month for the previous year.  Those ratios can</t>
  </si>
  <si>
    <t>be used as a guide in entered the ratios for the budget.</t>
  </si>
  <si>
    <t>The user also enters the projected fixed asset purchases on the fixed asset budgets and makes a few enteries on the cash flow</t>
  </si>
  <si>
    <t xml:space="preserve">statement including loan payments, and equity retirement payments.  The sophisticated user might want to make additonal </t>
  </si>
  <si>
    <t>forecasts on changes in payable and receivable accounts.  The user should analyze the projected cash flow before payments or</t>
  </si>
  <si>
    <t>additional draw downs of the seasonal loan to determine when the payments and drawdowns should be scheduled.  This</t>
  </si>
  <si>
    <t>will provide a projection of the total seaonal line of credit required.</t>
  </si>
  <si>
    <t xml:space="preserve">When all worksheets are completed the user can veiw and/or print the budgets shown to the left.  The budgets have cells to </t>
  </si>
  <si>
    <t>enter the acutal numbers so that the user can track actual year to date performance with the budget.</t>
  </si>
  <si>
    <t>To get started navigate to the sheets in the order specified and follow the instructions on each sheet</t>
  </si>
  <si>
    <t>The sheets are projected except for the green entry cells.</t>
  </si>
  <si>
    <t>For the other income categories enter the actual and budget amounts</t>
  </si>
  <si>
    <t>This data creates the most recent year of the 5 year history sheet</t>
  </si>
  <si>
    <t>December is calculated as a balance against the prior year enteries</t>
  </si>
  <si>
    <t>(Optional) Light Green cells allow you to enter the $ amount of sales in each month for the previous year</t>
  </si>
  <si>
    <t>MONTHLY EXPENSE WORKSHEET</t>
  </si>
  <si>
    <t>You can input other changes on this sheet.  The most common input is for loan payments and stock retirement</t>
  </si>
  <si>
    <t>The sophisticated user may want to forecast changes in some of these other categories</t>
  </si>
  <si>
    <t>month (1 to 12) that cash patronage will be paid.   If you don't enter a number for the month it will be transferred to the balance sheet as patronage payable</t>
  </si>
  <si>
    <t>Input Balance Sheet entries for the previous year in the light green cells</t>
  </si>
  <si>
    <t>Most of the changes are calculated automatically</t>
  </si>
  <si>
    <t>The sophisticated user may want to forecast additional changes and should see the instructions at the bottom of the page</t>
  </si>
  <si>
    <t>The asset and liabilities represented in the green cells are categories where it is  difficult to forecast change</t>
  </si>
  <si>
    <t>Check</t>
  </si>
  <si>
    <t>Oklahoma State Cooperative Budget Template</t>
  </si>
  <si>
    <t>Developed by: Phil Kenkel, Bill Fitzwater Cooperative Chair, Oklahoma State University</t>
  </si>
  <si>
    <t xml:space="preserve">phil.kenkel@okstate.edu </t>
  </si>
  <si>
    <t xml:space="preserve"> 405-744-9818</t>
  </si>
  <si>
    <t>SALES SZL</t>
  </si>
  <si>
    <t>MARGINS SZL</t>
  </si>
  <si>
    <t>SZL/UNIT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</si>
</sst>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_);_(* \(#,##0\);_(* &quot;-&quot;??_);_(@_)"/>
    <numFmt numFmtId="165" formatCode="_(* #,##0.0_);_(* \(#,##0.0\);_(* &quot;-&quot;??_);_(@_)"/>
    <numFmt numFmtId="166" formatCode="0.0%"/>
    <numFmt numFmtId="167" formatCode="0.0"/>
  </numFmts>
  <fonts count="10" x14ac:knownFonts="1">
    <font>
      <sz val="11"/>
      <color theme="1"/>
      <name val="Calibri"/>
      <family val="2"/>
      <scheme val="minor"/>
    </font>
    <font>
      <sz val="11"/>
      <color indexed="8"/>
      <name val="Calibri"/>
      <family val="2"/>
    </font>
    <font>
      <sz val="8"/>
      <name val="Calibri"/>
      <family val="2"/>
    </font>
    <font>
      <sz val="10"/>
      <color indexed="8"/>
      <name val="Calibri"/>
      <family val="2"/>
    </font>
    <font>
      <sz val="10"/>
      <name val="Calibri"/>
      <family val="2"/>
    </font>
    <font>
      <sz val="11"/>
      <name val="Calibri"/>
      <family val="2"/>
    </font>
    <font>
      <b/>
      <sz val="11"/>
      <color indexed="8"/>
      <name val="Calibri"/>
      <family val="2"/>
    </font>
    <font>
      <sz val="11"/>
      <color theme="1"/>
      <name val="Calibri"/>
      <family val="2"/>
      <scheme val="minor"/>
    </font>
    <font>
      <u/>
      <sz val="11"/>
      <color theme="10"/>
      <name val="Calibri"/>
      <family val="2"/>
      <scheme val="minor"/>
    </font>
    <font>
      <b/>
      <sz val="11"/>
      <color theme="1"/>
      <name val="Calibri"/>
      <family val="2"/>
      <scheme val="minor"/>
    </font>
  </fonts>
  <fills count="8">
    <fill>
      <patternFill patternType="none"/>
    </fill>
    <fill>
      <patternFill patternType="gray125"/>
    </fill>
    <fill>
      <patternFill patternType="solid">
        <fgColor indexed="50"/>
        <bgColor indexed="64"/>
      </patternFill>
    </fill>
    <fill>
      <patternFill patternType="solid">
        <fgColor indexed="57"/>
        <bgColor indexed="64"/>
      </patternFill>
    </fill>
    <fill>
      <patternFill patternType="solid">
        <fgColor indexed="42"/>
        <bgColor indexed="64"/>
      </patternFill>
    </fill>
    <fill>
      <patternFill patternType="solid">
        <fgColor rgb="FF92D050"/>
        <bgColor indexed="64"/>
      </patternFill>
    </fill>
    <fill>
      <patternFill patternType="solid">
        <fgColor rgb="FF00B050"/>
        <bgColor indexed="64"/>
      </patternFill>
    </fill>
    <fill>
      <patternFill patternType="solid">
        <fgColor rgb="FF669900"/>
        <bgColor indexed="64"/>
      </patternFill>
    </fill>
  </fills>
  <borders count="1">
    <border>
      <left/>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cellStyleXfs>
  <cellXfs count="80">
    <xf numFmtId="0" fontId="0" fillId="0" borderId="0" xfId="0"/>
    <xf numFmtId="0" fontId="0" fillId="2" borderId="0" xfId="0" applyFill="1"/>
    <xf numFmtId="0" fontId="0" fillId="0" borderId="0" xfId="0" applyFill="1"/>
    <xf numFmtId="9" fontId="1" fillId="0" borderId="0" xfId="2" applyFont="1"/>
    <xf numFmtId="0" fontId="0" fillId="0" borderId="0" xfId="0" quotePrefix="1"/>
    <xf numFmtId="9" fontId="7" fillId="0" borderId="0" xfId="2" applyFont="1"/>
    <xf numFmtId="164" fontId="7" fillId="0" borderId="0" xfId="1" applyNumberFormat="1" applyFont="1"/>
    <xf numFmtId="9" fontId="7" fillId="0" borderId="0" xfId="2" applyFont="1" applyFill="1"/>
    <xf numFmtId="3" fontId="0" fillId="0" borderId="0" xfId="0" applyNumberFormat="1"/>
    <xf numFmtId="3" fontId="0" fillId="0" borderId="0" xfId="0" applyNumberFormat="1" applyFill="1"/>
    <xf numFmtId="166" fontId="7" fillId="0" borderId="0" xfId="2" applyNumberFormat="1" applyFont="1"/>
    <xf numFmtId="166" fontId="0" fillId="0" borderId="0" xfId="0" applyNumberFormat="1"/>
    <xf numFmtId="166" fontId="7" fillId="0" borderId="0" xfId="2" applyNumberFormat="1" applyFont="1" applyFill="1"/>
    <xf numFmtId="164" fontId="7" fillId="0" borderId="0" xfId="1" applyNumberFormat="1" applyFont="1" applyFill="1"/>
    <xf numFmtId="164" fontId="0" fillId="0" borderId="0" xfId="0" applyNumberFormat="1"/>
    <xf numFmtId="0" fontId="3" fillId="0" borderId="0" xfId="0" applyFont="1"/>
    <xf numFmtId="164" fontId="3" fillId="0" borderId="0" xfId="0" applyNumberFormat="1" applyFont="1"/>
    <xf numFmtId="164" fontId="4" fillId="0" borderId="0" xfId="1" applyNumberFormat="1" applyFont="1"/>
    <xf numFmtId="164" fontId="5" fillId="0" borderId="0" xfId="1" applyNumberFormat="1" applyFont="1"/>
    <xf numFmtId="0" fontId="0" fillId="4" borderId="0" xfId="0" applyFill="1"/>
    <xf numFmtId="164" fontId="7" fillId="0" borderId="0" xfId="1" applyNumberFormat="1" applyFont="1"/>
    <xf numFmtId="164" fontId="7" fillId="4" borderId="0" xfId="1" applyNumberFormat="1" applyFont="1" applyFill="1"/>
    <xf numFmtId="164" fontId="7" fillId="0" borderId="0" xfId="1" applyNumberFormat="1" applyFont="1" applyFill="1"/>
    <xf numFmtId="9" fontId="7" fillId="0" borderId="0" xfId="2" applyFont="1"/>
    <xf numFmtId="164" fontId="7" fillId="0" borderId="0" xfId="2" applyNumberFormat="1" applyFont="1"/>
    <xf numFmtId="164" fontId="7" fillId="0" borderId="0" xfId="1" quotePrefix="1" applyNumberFormat="1" applyFont="1"/>
    <xf numFmtId="167" fontId="7" fillId="0" borderId="0" xfId="2" applyNumberFormat="1" applyFont="1" applyFill="1"/>
    <xf numFmtId="2" fontId="0" fillId="0" borderId="0" xfId="0" applyNumberFormat="1"/>
    <xf numFmtId="167" fontId="0" fillId="0" borderId="0" xfId="0" applyNumberFormat="1"/>
    <xf numFmtId="164" fontId="6" fillId="0" borderId="0" xfId="1" applyNumberFormat="1" applyFont="1" applyFill="1"/>
    <xf numFmtId="0" fontId="6" fillId="0" borderId="0" xfId="0" applyFont="1" applyFill="1"/>
    <xf numFmtId="166" fontId="6" fillId="0" borderId="0" xfId="2" applyNumberFormat="1" applyFont="1" applyFill="1"/>
    <xf numFmtId="167" fontId="6" fillId="0" borderId="0" xfId="2" applyNumberFormat="1" applyFont="1" applyFill="1"/>
    <xf numFmtId="0" fontId="0" fillId="5" borderId="0" xfId="0" applyFill="1"/>
    <xf numFmtId="164" fontId="7" fillId="4" borderId="0" xfId="1" applyNumberFormat="1" applyFont="1" applyFill="1"/>
    <xf numFmtId="0" fontId="0" fillId="0" borderId="0" xfId="0" applyAlignment="1">
      <alignment horizontal="left"/>
    </xf>
    <xf numFmtId="0" fontId="8" fillId="0" borderId="0" xfId="3"/>
    <xf numFmtId="0" fontId="0" fillId="0" borderId="0" xfId="0" applyAlignment="1"/>
    <xf numFmtId="0" fontId="8" fillId="0" borderId="0" xfId="3" applyAlignment="1">
      <alignment horizontal="left"/>
    </xf>
    <xf numFmtId="0" fontId="0" fillId="0" borderId="0" xfId="0" applyAlignment="1">
      <alignment horizontal="left"/>
    </xf>
    <xf numFmtId="164" fontId="7" fillId="4" borderId="0" xfId="1" applyNumberFormat="1" applyFont="1" applyFill="1" applyProtection="1">
      <protection locked="0"/>
    </xf>
    <xf numFmtId="9" fontId="1" fillId="0" borderId="0" xfId="2" applyFont="1" applyProtection="1">
      <protection locked="0"/>
    </xf>
    <xf numFmtId="165" fontId="0" fillId="4" borderId="0" xfId="0" applyNumberFormat="1" applyFill="1" applyProtection="1">
      <protection locked="0"/>
    </xf>
    <xf numFmtId="0" fontId="0" fillId="4" borderId="0" xfId="0" applyFill="1" applyProtection="1">
      <protection locked="0"/>
    </xf>
    <xf numFmtId="0" fontId="0" fillId="0" borderId="0" xfId="0" applyProtection="1">
      <protection locked="0"/>
    </xf>
    <xf numFmtId="2" fontId="0" fillId="4" borderId="0" xfId="0" applyNumberFormat="1" applyFill="1" applyProtection="1">
      <protection locked="0"/>
    </xf>
    <xf numFmtId="167" fontId="0" fillId="0" borderId="0" xfId="0" applyNumberFormat="1" applyProtection="1">
      <protection locked="0"/>
    </xf>
    <xf numFmtId="167" fontId="0" fillId="4" borderId="0" xfId="0" applyNumberFormat="1" applyFill="1" applyProtection="1">
      <protection locked="0"/>
    </xf>
    <xf numFmtId="9" fontId="0" fillId="4" borderId="0" xfId="0" applyNumberFormat="1" applyFill="1" applyProtection="1">
      <protection locked="0"/>
    </xf>
    <xf numFmtId="164" fontId="7" fillId="0" borderId="0" xfId="1" applyNumberFormat="1" applyFont="1" applyProtection="1">
      <protection locked="0"/>
    </xf>
    <xf numFmtId="9" fontId="7" fillId="4" borderId="0" xfId="2" applyFont="1" applyFill="1" applyProtection="1">
      <protection locked="0"/>
    </xf>
    <xf numFmtId="9" fontId="7" fillId="3" borderId="0" xfId="2" applyFont="1" applyFill="1" applyProtection="1">
      <protection locked="0"/>
    </xf>
    <xf numFmtId="0" fontId="0" fillId="2" borderId="0" xfId="0" applyFill="1" applyProtection="1">
      <protection locked="0"/>
    </xf>
    <xf numFmtId="9" fontId="7" fillId="0" borderId="0" xfId="2" applyFont="1" applyProtection="1"/>
    <xf numFmtId="164" fontId="7" fillId="0" borderId="0" xfId="1" quotePrefix="1" applyNumberFormat="1" applyFont="1" applyFill="1"/>
    <xf numFmtId="164" fontId="0" fillId="0" borderId="0" xfId="1" quotePrefix="1" applyNumberFormat="1" applyFont="1"/>
    <xf numFmtId="0" fontId="0" fillId="0" borderId="0" xfId="0" applyProtection="1"/>
    <xf numFmtId="3" fontId="0" fillId="2" borderId="0" xfId="0" applyNumberFormat="1" applyFill="1" applyProtection="1">
      <protection locked="0"/>
    </xf>
    <xf numFmtId="166" fontId="7" fillId="7" borderId="0" xfId="2" applyNumberFormat="1" applyFont="1" applyFill="1" applyProtection="1">
      <protection locked="0"/>
    </xf>
    <xf numFmtId="164" fontId="7" fillId="2" borderId="0" xfId="1" applyNumberFormat="1" applyFont="1" applyFill="1" applyProtection="1">
      <protection locked="0"/>
    </xf>
    <xf numFmtId="164" fontId="7" fillId="5" borderId="0" xfId="1" applyNumberFormat="1" applyFont="1" applyFill="1" applyProtection="1">
      <protection locked="0"/>
    </xf>
    <xf numFmtId="166" fontId="0" fillId="7" borderId="0" xfId="0" applyNumberFormat="1" applyFill="1" applyProtection="1">
      <protection locked="0"/>
    </xf>
    <xf numFmtId="3" fontId="0" fillId="0" borderId="0" xfId="0" applyNumberFormat="1" applyProtection="1">
      <protection locked="0"/>
    </xf>
    <xf numFmtId="164" fontId="7" fillId="0" borderId="0" xfId="1" applyNumberFormat="1" applyFont="1" applyFill="1" applyProtection="1"/>
    <xf numFmtId="0" fontId="9" fillId="0" borderId="0" xfId="0" applyFont="1" applyFill="1"/>
    <xf numFmtId="0" fontId="0" fillId="0" borderId="0" xfId="0" applyFill="1" applyAlignment="1"/>
    <xf numFmtId="14" fontId="0" fillId="0" borderId="0" xfId="0" applyNumberFormat="1" applyAlignment="1">
      <alignment horizontal="left"/>
    </xf>
    <xf numFmtId="10" fontId="0" fillId="0" borderId="0" xfId="2" applyNumberFormat="1" applyFont="1"/>
    <xf numFmtId="166" fontId="7" fillId="3" borderId="0" xfId="2" applyNumberFormat="1" applyFont="1" applyFill="1" applyProtection="1">
      <protection locked="0"/>
    </xf>
    <xf numFmtId="166" fontId="7" fillId="0" borderId="0" xfId="2" applyNumberFormat="1" applyFont="1" applyProtection="1"/>
    <xf numFmtId="166" fontId="7" fillId="0" borderId="0" xfId="2" applyNumberFormat="1" applyFont="1" applyProtection="1">
      <protection locked="0"/>
    </xf>
    <xf numFmtId="166" fontId="7" fillId="3" borderId="0" xfId="2" applyNumberFormat="1" applyFont="1" applyFill="1"/>
    <xf numFmtId="0" fontId="9" fillId="0" borderId="0" xfId="0" applyFont="1"/>
    <xf numFmtId="14" fontId="0" fillId="4" borderId="0" xfId="0" applyNumberFormat="1" applyFill="1" applyProtection="1">
      <protection locked="0"/>
    </xf>
    <xf numFmtId="0" fontId="8" fillId="0" borderId="0" xfId="3" applyProtection="1">
      <protection locked="0"/>
    </xf>
    <xf numFmtId="166" fontId="7" fillId="6" borderId="0" xfId="2" applyNumberFormat="1" applyFont="1" applyFill="1" applyProtection="1">
      <protection locked="0"/>
    </xf>
    <xf numFmtId="0" fontId="0" fillId="5" borderId="0" xfId="0" applyFill="1" applyProtection="1">
      <protection locked="0"/>
    </xf>
    <xf numFmtId="14" fontId="0" fillId="0" borderId="0" xfId="0" applyNumberFormat="1"/>
    <xf numFmtId="37" fontId="0" fillId="0" borderId="0" xfId="0" applyNumberFormat="1"/>
    <xf numFmtId="0" fontId="0" fillId="0" borderId="0" xfId="0" applyAlignment="1">
      <alignment horizontal="left"/>
    </xf>
  </cellXfs>
  <cellStyles count="4">
    <cellStyle name="Comma" xfId="1" builtinId="3"/>
    <cellStyle name="Hyperlink" xfId="3" builtinId="8"/>
    <cellStyle name="Normal" xfId="0" builtinId="0"/>
    <cellStyle name="Percent" xfId="2" builtinId="5"/>
  </cellStyles>
  <dxfs count="0"/>
  <tableStyles count="0" defaultTableStyle="TableStyleMedium9" defaultPivotStyle="PivotStyleLight16"/>
  <colors>
    <mruColors>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12</xdr:col>
      <xdr:colOff>31750</xdr:colOff>
      <xdr:row>43</xdr:row>
      <xdr:rowOff>137583</xdr:rowOff>
    </xdr:from>
    <xdr:ext cx="2719916" cy="609013"/>
    <xdr:sp macro="" textlink="">
      <xdr:nvSpPr>
        <xdr:cNvPr id="2" name="TextBox 1"/>
        <xdr:cNvSpPr txBox="1"/>
      </xdr:nvSpPr>
      <xdr:spPr>
        <a:xfrm>
          <a:off x="8879417" y="8329083"/>
          <a:ext cx="2719916"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u="none" strike="noStrike">
              <a:solidFill>
                <a:schemeClr val="tx1"/>
              </a:solidFill>
              <a:effectLst/>
              <a:latin typeface="+mn-lt"/>
              <a:ea typeface="+mn-ea"/>
              <a:cs typeface="+mn-cs"/>
            </a:rPr>
            <a:t>if your balance sheet does not balance the amount by which liabilities exceed assets is shown at left</a:t>
          </a:r>
          <a:r>
            <a:rPr lang="en-US"/>
            <a:t> </a:t>
          </a:r>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phil.kenkel@okstate.ed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workbookViewId="0">
      <selection activeCell="B20" sqref="B20"/>
    </sheetView>
  </sheetViews>
  <sheetFormatPr defaultRowHeight="15" x14ac:dyDescent="0.25"/>
  <sheetData>
    <row r="1" spans="1:11" x14ac:dyDescent="0.25">
      <c r="A1" t="s">
        <v>419</v>
      </c>
      <c r="G1" t="s">
        <v>420</v>
      </c>
    </row>
    <row r="2" spans="1:11" x14ac:dyDescent="0.25">
      <c r="A2" t="s">
        <v>320</v>
      </c>
      <c r="G2" s="36" t="s">
        <v>421</v>
      </c>
      <c r="K2" t="s">
        <v>422</v>
      </c>
    </row>
    <row r="3" spans="1:11" x14ac:dyDescent="0.25">
      <c r="A3" t="s">
        <v>321</v>
      </c>
    </row>
    <row r="4" spans="1:11" x14ac:dyDescent="0.25">
      <c r="E4" t="s">
        <v>387</v>
      </c>
    </row>
    <row r="5" spans="1:11" x14ac:dyDescent="0.25">
      <c r="B5" t="s">
        <v>324</v>
      </c>
      <c r="E5" t="s">
        <v>388</v>
      </c>
    </row>
    <row r="6" spans="1:11" x14ac:dyDescent="0.25">
      <c r="A6">
        <v>1</v>
      </c>
      <c r="B6" s="74" t="s">
        <v>308</v>
      </c>
      <c r="C6" s="44"/>
      <c r="E6" t="s">
        <v>389</v>
      </c>
    </row>
    <row r="7" spans="1:11" x14ac:dyDescent="0.25">
      <c r="A7">
        <v>2</v>
      </c>
      <c r="B7" s="74" t="s">
        <v>306</v>
      </c>
      <c r="C7" s="44"/>
      <c r="E7" t="s">
        <v>390</v>
      </c>
    </row>
    <row r="8" spans="1:11" x14ac:dyDescent="0.25">
      <c r="A8">
        <v>3</v>
      </c>
      <c r="B8" s="74" t="s">
        <v>307</v>
      </c>
      <c r="C8" s="44"/>
      <c r="E8" t="s">
        <v>391</v>
      </c>
    </row>
    <row r="9" spans="1:11" x14ac:dyDescent="0.25">
      <c r="A9">
        <v>4</v>
      </c>
      <c r="B9" s="74" t="s">
        <v>309</v>
      </c>
      <c r="C9" s="44"/>
      <c r="E9" t="s">
        <v>392</v>
      </c>
    </row>
    <row r="10" spans="1:11" x14ac:dyDescent="0.25">
      <c r="A10">
        <v>5</v>
      </c>
      <c r="B10" s="74" t="s">
        <v>310</v>
      </c>
      <c r="C10" s="44"/>
      <c r="E10" t="s">
        <v>393</v>
      </c>
    </row>
    <row r="11" spans="1:11" x14ac:dyDescent="0.25">
      <c r="A11">
        <v>6</v>
      </c>
      <c r="B11" s="74" t="s">
        <v>315</v>
      </c>
      <c r="C11" s="44"/>
      <c r="E11" t="s">
        <v>394</v>
      </c>
    </row>
    <row r="12" spans="1:11" x14ac:dyDescent="0.25">
      <c r="A12">
        <v>7</v>
      </c>
      <c r="B12" s="74" t="s">
        <v>316</v>
      </c>
      <c r="C12" s="44"/>
      <c r="E12" t="s">
        <v>395</v>
      </c>
    </row>
    <row r="13" spans="1:11" x14ac:dyDescent="0.25">
      <c r="A13">
        <v>8</v>
      </c>
      <c r="B13" s="74" t="s">
        <v>318</v>
      </c>
      <c r="C13" s="44"/>
      <c r="E13" t="s">
        <v>396</v>
      </c>
    </row>
    <row r="14" spans="1:11" x14ac:dyDescent="0.25">
      <c r="A14">
        <v>9</v>
      </c>
      <c r="B14" s="74" t="s">
        <v>317</v>
      </c>
      <c r="C14" s="44"/>
      <c r="E14" t="s">
        <v>397</v>
      </c>
    </row>
    <row r="15" spans="1:11" x14ac:dyDescent="0.25">
      <c r="B15" s="44"/>
      <c r="C15" s="44"/>
      <c r="E15" t="s">
        <v>398</v>
      </c>
    </row>
    <row r="16" spans="1:11" x14ac:dyDescent="0.25">
      <c r="B16" s="44"/>
      <c r="C16" s="44"/>
      <c r="E16" t="s">
        <v>399</v>
      </c>
    </row>
    <row r="17" spans="2:5" x14ac:dyDescent="0.25">
      <c r="B17" s="44"/>
      <c r="C17" s="44"/>
      <c r="E17" t="s">
        <v>400</v>
      </c>
    </row>
    <row r="18" spans="2:5" x14ac:dyDescent="0.25">
      <c r="B18" s="44" t="s">
        <v>338</v>
      </c>
      <c r="C18" s="44"/>
      <c r="E18" t="s">
        <v>401</v>
      </c>
    </row>
    <row r="19" spans="2:5" x14ac:dyDescent="0.25">
      <c r="B19" s="44"/>
      <c r="C19" s="44"/>
    </row>
    <row r="20" spans="2:5" x14ac:dyDescent="0.25">
      <c r="B20" s="74" t="s">
        <v>311</v>
      </c>
      <c r="C20" s="44"/>
      <c r="E20" t="s">
        <v>402</v>
      </c>
    </row>
    <row r="21" spans="2:5" x14ac:dyDescent="0.25">
      <c r="B21" s="74" t="s">
        <v>312</v>
      </c>
      <c r="C21" s="44"/>
      <c r="E21" t="s">
        <v>403</v>
      </c>
    </row>
    <row r="22" spans="2:5" x14ac:dyDescent="0.25">
      <c r="B22" s="74" t="s">
        <v>313</v>
      </c>
      <c r="C22" s="44"/>
    </row>
    <row r="23" spans="2:5" x14ac:dyDescent="0.25">
      <c r="B23" s="74" t="s">
        <v>314</v>
      </c>
      <c r="C23" s="44"/>
      <c r="E23" t="s">
        <v>404</v>
      </c>
    </row>
    <row r="24" spans="2:5" x14ac:dyDescent="0.25">
      <c r="B24" s="74" t="s">
        <v>319</v>
      </c>
      <c r="C24" s="44"/>
      <c r="E24" t="s">
        <v>405</v>
      </c>
    </row>
  </sheetData>
  <hyperlinks>
    <hyperlink ref="B7" location="'Monthly Sales Worksheet'!B2" display="Monthly Sales Worksheet"/>
    <hyperlink ref="B8" location="'5 year history'!B3" display="5 Year History"/>
    <hyperlink ref="B6" location="'Prior year summary'!B4" display="Prior Year Summary"/>
    <hyperlink ref="B9" location="'Monthly Income Worksheet'!B5" display="Monthly Income Worksheet"/>
    <hyperlink ref="B10" location="'Monthly Expense Worksheet'!B6" display="Monthly Expense Worksheet"/>
    <hyperlink ref="B20" location="'Sales Budget'!B7" display="Sales Budget"/>
    <hyperlink ref="B21" location="'Income Budget'!B8" display="Income Budget"/>
    <hyperlink ref="B22" location="'Expense budget'!B9" display="Expense Budget"/>
    <hyperlink ref="B23" location="'Profit Summary'!B10" display="Profit Summary"/>
    <hyperlink ref="B11" location="'Acc Rec Worksheet'!B11" display="Acc Rec Worksheet"/>
    <hyperlink ref="B12" location="'Fixed Asset Worksheet'!B12" display="Fixed Asset Worksheet "/>
    <hyperlink ref="B14" location="'Balance sheet'!B13" display="Balance Sheet"/>
    <hyperlink ref="B13" location="Cashflow!B14" display="Cashflow"/>
    <hyperlink ref="B24" location="'Working Capital'!B15" display="Working Capital"/>
    <hyperlink ref="G2"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workbookViewId="0">
      <selection activeCell="E2" sqref="E2"/>
    </sheetView>
  </sheetViews>
  <sheetFormatPr defaultRowHeight="15" x14ac:dyDescent="0.25"/>
  <sheetData>
    <row r="1" spans="1:14" x14ac:dyDescent="0.25">
      <c r="A1" t="s">
        <v>204</v>
      </c>
      <c r="E1" s="33" t="s">
        <v>323</v>
      </c>
    </row>
    <row r="2" spans="1:14" x14ac:dyDescent="0.25">
      <c r="E2" s="36" t="str">
        <f>'Monthly Sales Worksheet'!$C$6</f>
        <v>Back to Instructions</v>
      </c>
    </row>
    <row r="3" spans="1:14" x14ac:dyDescent="0.25">
      <c r="B3" t="str">
        <f>'Monthly Sales Worksheet'!C8</f>
        <v>JAN</v>
      </c>
      <c r="C3" t="str">
        <f>'Monthly Sales Worksheet'!D8</f>
        <v>FEB</v>
      </c>
      <c r="D3" t="str">
        <f>'Monthly Sales Worksheet'!E8</f>
        <v>MAR</v>
      </c>
      <c r="E3" t="str">
        <f>'Monthly Sales Worksheet'!F8</f>
        <v>APRIL</v>
      </c>
      <c r="F3" t="str">
        <f>'Monthly Sales Worksheet'!G8</f>
        <v>MAY</v>
      </c>
      <c r="G3" t="str">
        <f>'Monthly Sales Worksheet'!H8</f>
        <v>JUN</v>
      </c>
      <c r="H3" t="str">
        <f>'Monthly Sales Worksheet'!I8</f>
        <v>JUL</v>
      </c>
      <c r="I3" t="str">
        <f>'Monthly Sales Worksheet'!J8</f>
        <v>AUG</v>
      </c>
      <c r="J3" t="str">
        <f>'Monthly Sales Worksheet'!K8</f>
        <v>SEPT</v>
      </c>
      <c r="K3" t="str">
        <f>'Monthly Sales Worksheet'!L8</f>
        <v>OCT</v>
      </c>
      <c r="L3" t="str">
        <f>'Monthly Sales Worksheet'!M8</f>
        <v>NOV</v>
      </c>
      <c r="M3" t="str">
        <f>'Monthly Sales Worksheet'!N8</f>
        <v>DEC</v>
      </c>
      <c r="N3" t="s">
        <v>60</v>
      </c>
    </row>
    <row r="4" spans="1:14" x14ac:dyDescent="0.25">
      <c r="B4" s="76"/>
      <c r="C4" s="76"/>
      <c r="D4" s="76"/>
      <c r="E4" s="76"/>
      <c r="F4" s="76"/>
      <c r="G4" s="76">
        <v>250000</v>
      </c>
      <c r="H4" s="76"/>
      <c r="I4" s="76"/>
      <c r="J4" s="76"/>
      <c r="K4" s="76"/>
      <c r="L4" s="76"/>
      <c r="M4" s="76"/>
      <c r="N4">
        <f>SUM(B4:M4)</f>
        <v>250000</v>
      </c>
    </row>
  </sheetData>
  <phoneticPr fontId="2" type="noConversion"/>
  <hyperlinks>
    <hyperlink ref="E2" location="Instructions!L8" display="Instructions!L8"/>
  </hyperlinks>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6"/>
  <sheetViews>
    <sheetView topLeftCell="B1" workbookViewId="0">
      <selection activeCell="B7" sqref="B7"/>
    </sheetView>
  </sheetViews>
  <sheetFormatPr defaultRowHeight="15" x14ac:dyDescent="0.25"/>
  <cols>
    <col min="1" max="1" width="16.28515625" customWidth="1"/>
    <col min="3" max="14" width="11.7109375" customWidth="1"/>
    <col min="15" max="15" width="10.140625" customWidth="1"/>
  </cols>
  <sheetData>
    <row r="1" spans="1:15" x14ac:dyDescent="0.25">
      <c r="A1" t="str">
        <f>'5 year history'!A8</f>
        <v>Anytown Cooperative</v>
      </c>
      <c r="E1" s="77">
        <f>'5 year history'!F8</f>
        <v>41038</v>
      </c>
    </row>
    <row r="2" spans="1:15" x14ac:dyDescent="0.25">
      <c r="B2" t="s">
        <v>332</v>
      </c>
    </row>
    <row r="3" spans="1:15" x14ac:dyDescent="0.25">
      <c r="C3" t="str">
        <f>'Monthly Sales Worksheet'!C8</f>
        <v>JAN</v>
      </c>
      <c r="D3" t="str">
        <f>'Monthly Sales Worksheet'!D8</f>
        <v>FEB</v>
      </c>
      <c r="E3" t="str">
        <f>'Monthly Sales Worksheet'!E8</f>
        <v>MAR</v>
      </c>
      <c r="F3" t="str">
        <f>'Monthly Sales Worksheet'!F8</f>
        <v>APRIL</v>
      </c>
      <c r="G3" t="str">
        <f>'Monthly Sales Worksheet'!G8</f>
        <v>MAY</v>
      </c>
      <c r="H3" t="str">
        <f>'Monthly Sales Worksheet'!H8</f>
        <v>JUN</v>
      </c>
      <c r="I3" t="str">
        <f>'Monthly Sales Worksheet'!I8</f>
        <v>JUL</v>
      </c>
      <c r="J3" t="str">
        <f>'Monthly Sales Worksheet'!J8</f>
        <v>AUG</v>
      </c>
      <c r="K3" t="str">
        <f>'Monthly Sales Worksheet'!K8</f>
        <v>SEPT</v>
      </c>
      <c r="L3" t="str">
        <f>'Monthly Sales Worksheet'!L8</f>
        <v>OCT</v>
      </c>
      <c r="M3" t="str">
        <f>'Monthly Sales Worksheet'!M8</f>
        <v>NOV</v>
      </c>
      <c r="N3" t="str">
        <f>'Monthly Sales Worksheet'!N8</f>
        <v>DEC</v>
      </c>
      <c r="O3" t="str">
        <f>'Monthly Sales Worksheet'!O8</f>
        <v>TOTAL</v>
      </c>
    </row>
    <row r="4" spans="1:15" x14ac:dyDescent="0.25">
      <c r="A4" t="str">
        <f>'Monthly Sales Worksheet'!A9</f>
        <v>Wheat</v>
      </c>
      <c r="B4" t="s">
        <v>164</v>
      </c>
      <c r="C4" s="8">
        <f>'Monthly Sales Worksheet'!C11*'Prior year summary'!$J9</f>
        <v>396825.39682539681</v>
      </c>
      <c r="D4" s="8">
        <f>'Monthly Sales Worksheet'!D11*'Prior year summary'!$J9</f>
        <v>396825.39682539681</v>
      </c>
      <c r="E4" s="8">
        <f>'Monthly Sales Worksheet'!E11*'Prior year summary'!$J9</f>
        <v>396825.39682539681</v>
      </c>
      <c r="F4" s="8">
        <f>'Monthly Sales Worksheet'!F11*'Prior year summary'!$J9</f>
        <v>396825.39682539681</v>
      </c>
      <c r="G4" s="8">
        <f>'Monthly Sales Worksheet'!G11*'Prior year summary'!$J9</f>
        <v>396825.39682539681</v>
      </c>
      <c r="H4" s="8">
        <f>'Monthly Sales Worksheet'!H11*'Prior year summary'!$J9</f>
        <v>396825.39682539681</v>
      </c>
      <c r="I4" s="8">
        <f>'Monthly Sales Worksheet'!I11*'Prior year summary'!$J9</f>
        <v>396825.39682539681</v>
      </c>
      <c r="J4" s="8">
        <f>'Monthly Sales Worksheet'!J11*'Prior year summary'!$J9</f>
        <v>396825.39682539681</v>
      </c>
      <c r="K4" s="8">
        <f>'Monthly Sales Worksheet'!K11*'Prior year summary'!$J9</f>
        <v>396825.39682539681</v>
      </c>
      <c r="L4" s="8">
        <f>'Monthly Sales Worksheet'!L11*'Prior year summary'!$J9</f>
        <v>396825.39682539681</v>
      </c>
      <c r="M4" s="8">
        <f>'Monthly Sales Worksheet'!M11*'Prior year summary'!$J9</f>
        <v>396825.39682539681</v>
      </c>
      <c r="N4" s="8">
        <f>'Monthly Sales Worksheet'!N11*'Prior year summary'!$J9</f>
        <v>396825.39682539651</v>
      </c>
      <c r="O4" s="8">
        <f>SUM(C4:N4)</f>
        <v>4761904.7619047621</v>
      </c>
    </row>
    <row r="5" spans="1:15" x14ac:dyDescent="0.25">
      <c r="B5" t="s">
        <v>165</v>
      </c>
      <c r="C5" s="8">
        <f>SUM($C4:C4)</f>
        <v>396825.39682539681</v>
      </c>
      <c r="D5" s="8">
        <f>SUM($C4:D4)</f>
        <v>793650.79365079361</v>
      </c>
      <c r="E5" s="8">
        <f>SUM($C4:E4)</f>
        <v>1190476.1904761903</v>
      </c>
      <c r="F5" s="8">
        <f>SUM($C4:F4)</f>
        <v>1587301.5873015872</v>
      </c>
      <c r="G5" s="8">
        <f>SUM($C4:G4)</f>
        <v>1984126.9841269841</v>
      </c>
      <c r="H5" s="8">
        <f>SUM($C4:H4)</f>
        <v>2380952.3809523811</v>
      </c>
      <c r="I5" s="8">
        <f>SUM($C4:I4)</f>
        <v>2777777.777777778</v>
      </c>
      <c r="J5" s="8">
        <f>SUM($C4:J4)</f>
        <v>3174603.1746031749</v>
      </c>
      <c r="K5" s="8">
        <f>SUM($C4:K4)</f>
        <v>3571428.5714285718</v>
      </c>
      <c r="L5" s="8">
        <f>SUM($C4:L4)</f>
        <v>3968253.9682539687</v>
      </c>
      <c r="M5" s="8">
        <f>SUM($C4:M4)</f>
        <v>4365079.3650793657</v>
      </c>
      <c r="N5" s="8">
        <f>SUM($C4:N4)</f>
        <v>4761904.7619047621</v>
      </c>
    </row>
    <row r="6" spans="1:15" x14ac:dyDescent="0.25">
      <c r="B6" t="s">
        <v>166</v>
      </c>
      <c r="C6" s="44"/>
      <c r="D6" s="44"/>
      <c r="E6" s="44"/>
      <c r="F6" s="44"/>
      <c r="G6" s="44"/>
      <c r="H6" s="44"/>
      <c r="I6" s="44"/>
      <c r="J6" s="44"/>
      <c r="K6" s="44"/>
      <c r="L6" s="44"/>
      <c r="M6" s="44"/>
      <c r="N6" s="44"/>
    </row>
    <row r="7" spans="1:15" x14ac:dyDescent="0.25">
      <c r="A7" t="str">
        <f>'Monthly Sales Worksheet'!A12</f>
        <v>Oats</v>
      </c>
      <c r="B7" t="s">
        <v>164</v>
      </c>
      <c r="C7" s="8">
        <f>'Monthly Sales Worksheet'!C14*'Prior year summary'!$J10</f>
        <v>1854.0600000000002</v>
      </c>
      <c r="D7" s="8">
        <f>'Monthly Sales Worksheet'!D14*'Prior year summary'!$J10</f>
        <v>0</v>
      </c>
      <c r="E7" s="8">
        <f>'Monthly Sales Worksheet'!E14*'Prior year summary'!$J10</f>
        <v>0</v>
      </c>
      <c r="F7" s="8">
        <f>'Monthly Sales Worksheet'!F14*'Prior year summary'!$J10</f>
        <v>0</v>
      </c>
      <c r="G7" s="8">
        <f>'Monthly Sales Worksheet'!G14*'Prior year summary'!$J10</f>
        <v>0</v>
      </c>
      <c r="H7" s="8">
        <f>'Monthly Sales Worksheet'!H14*'Prior year summary'!$J10</f>
        <v>1854.0600000000002</v>
      </c>
      <c r="I7" s="8">
        <f>'Monthly Sales Worksheet'!I14*'Prior year summary'!$J10</f>
        <v>1854.0600000000002</v>
      </c>
      <c r="J7" s="8">
        <f>'Monthly Sales Worksheet'!J14*'Prior year summary'!$J10</f>
        <v>1854.0600000000002</v>
      </c>
      <c r="K7" s="8">
        <f>'Monthly Sales Worksheet'!K14*'Prior year summary'!$J10</f>
        <v>3565.5</v>
      </c>
      <c r="L7" s="8">
        <f>'Monthly Sales Worksheet'!L14*'Prior year summary'!$J10</f>
        <v>1711.4399999999998</v>
      </c>
      <c r="M7" s="8">
        <f>'Monthly Sales Worksheet'!M14*'Prior year summary'!$J10</f>
        <v>1568.82</v>
      </c>
      <c r="N7" s="8">
        <f>'Monthly Sales Worksheet'!N14*'Prior year summary'!$J10</f>
        <v>0</v>
      </c>
      <c r="O7" s="8">
        <f>SUM(C7:N7)</f>
        <v>14262.000000000002</v>
      </c>
    </row>
    <row r="8" spans="1:15" x14ac:dyDescent="0.25">
      <c r="B8" t="s">
        <v>165</v>
      </c>
      <c r="C8" s="8">
        <f>SUM($C7:C7)</f>
        <v>1854.0600000000002</v>
      </c>
      <c r="D8" s="8">
        <f>SUM($C7:D7)</f>
        <v>1854.0600000000002</v>
      </c>
      <c r="E8" s="8">
        <f>SUM($C7:E7)</f>
        <v>1854.0600000000002</v>
      </c>
      <c r="F8" s="8">
        <f>SUM($C7:F7)</f>
        <v>1854.0600000000002</v>
      </c>
      <c r="G8" s="8">
        <f>SUM($C7:G7)</f>
        <v>1854.0600000000002</v>
      </c>
      <c r="H8" s="8">
        <f>SUM($C7:H7)</f>
        <v>3708.1200000000003</v>
      </c>
      <c r="I8" s="8">
        <f>SUM($C7:I7)</f>
        <v>5562.18</v>
      </c>
      <c r="J8" s="8">
        <f>SUM($C7:J7)</f>
        <v>7416.2400000000007</v>
      </c>
      <c r="K8" s="8">
        <f>SUM($C7:K7)</f>
        <v>10981.740000000002</v>
      </c>
      <c r="L8" s="8">
        <f>SUM($C7:L7)</f>
        <v>12693.180000000002</v>
      </c>
      <c r="M8" s="8">
        <f>SUM($C7:M7)</f>
        <v>14262.000000000002</v>
      </c>
      <c r="N8" s="8">
        <f>SUM($C7:N7)</f>
        <v>14262.000000000002</v>
      </c>
    </row>
    <row r="9" spans="1:15" x14ac:dyDescent="0.25">
      <c r="B9" t="s">
        <v>166</v>
      </c>
      <c r="C9" s="44"/>
      <c r="D9" s="44"/>
      <c r="E9" s="44"/>
      <c r="F9" s="44"/>
      <c r="G9" s="44"/>
      <c r="H9" s="44"/>
      <c r="I9" s="44"/>
      <c r="J9" s="44"/>
      <c r="K9" s="44"/>
      <c r="L9" s="44"/>
      <c r="M9" s="44"/>
      <c r="N9" s="44"/>
    </row>
    <row r="10" spans="1:15" x14ac:dyDescent="0.25">
      <c r="A10" t="str">
        <f>'Monthly Sales Worksheet'!A15</f>
        <v>Milo</v>
      </c>
      <c r="B10" t="s">
        <v>164</v>
      </c>
      <c r="C10" s="8">
        <f>'Monthly Sales Worksheet'!C17*'Prior year summary'!$J11</f>
        <v>3681.86</v>
      </c>
      <c r="D10" s="8">
        <f>'Monthly Sales Worksheet'!D17*'Prior year summary'!$J11</f>
        <v>0</v>
      </c>
      <c r="E10" s="8">
        <f>'Monthly Sales Worksheet'!E17*'Prior year summary'!$J11</f>
        <v>0</v>
      </c>
      <c r="F10" s="8">
        <f>'Monthly Sales Worksheet'!F17*'Prior year summary'!$J11</f>
        <v>0</v>
      </c>
      <c r="G10" s="8">
        <f>'Monthly Sales Worksheet'!G17*'Prior year summary'!$J11</f>
        <v>0</v>
      </c>
      <c r="H10" s="8">
        <f>'Monthly Sales Worksheet'!H17*'Prior year summary'!$J11</f>
        <v>3681.86</v>
      </c>
      <c r="I10" s="8">
        <f>'Monthly Sales Worksheet'!I17*'Prior year summary'!$J11</f>
        <v>3681.86</v>
      </c>
      <c r="J10" s="8">
        <f>'Monthly Sales Worksheet'!J17*'Prior year summary'!$J11</f>
        <v>3681.86</v>
      </c>
      <c r="K10" s="8">
        <f>'Monthly Sales Worksheet'!K17*'Prior year summary'!$J11</f>
        <v>7080.5</v>
      </c>
      <c r="L10" s="8">
        <f>'Monthly Sales Worksheet'!L17*'Prior year summary'!$J11</f>
        <v>3398.64</v>
      </c>
      <c r="M10" s="8">
        <f>'Monthly Sales Worksheet'!M17*'Prior year summary'!$J11</f>
        <v>3115.42</v>
      </c>
      <c r="N10" s="8">
        <f>'Monthly Sales Worksheet'!N17*'Prior year summary'!$J11</f>
        <v>0</v>
      </c>
      <c r="O10" s="8">
        <f>SUM(C10:N10)</f>
        <v>28322</v>
      </c>
    </row>
    <row r="11" spans="1:15" x14ac:dyDescent="0.25">
      <c r="B11" t="s">
        <v>165</v>
      </c>
      <c r="C11" s="8">
        <f>SUM($C10:C10)</f>
        <v>3681.86</v>
      </c>
      <c r="D11" s="8">
        <f>SUM($C10:D10)</f>
        <v>3681.86</v>
      </c>
      <c r="E11" s="8">
        <f>SUM($C10:E10)</f>
        <v>3681.86</v>
      </c>
      <c r="F11" s="8">
        <f>SUM($C10:F10)</f>
        <v>3681.86</v>
      </c>
      <c r="G11" s="8">
        <f>SUM($C10:G10)</f>
        <v>3681.86</v>
      </c>
      <c r="H11" s="8">
        <f>SUM($C10:H10)</f>
        <v>7363.72</v>
      </c>
      <c r="I11" s="8">
        <f>SUM($C10:I10)</f>
        <v>11045.58</v>
      </c>
      <c r="J11" s="8">
        <f>SUM($C10:J10)</f>
        <v>14727.44</v>
      </c>
      <c r="K11" s="8">
        <f>SUM($C10:K10)</f>
        <v>21807.940000000002</v>
      </c>
      <c r="L11" s="8">
        <f>SUM($C10:L10)</f>
        <v>25206.58</v>
      </c>
      <c r="M11" s="8">
        <f>SUM($C10:M10)</f>
        <v>28322</v>
      </c>
      <c r="N11" s="8">
        <f>SUM($C10:N10)</f>
        <v>28322</v>
      </c>
    </row>
    <row r="12" spans="1:15" x14ac:dyDescent="0.25">
      <c r="B12" t="s">
        <v>166</v>
      </c>
      <c r="C12" s="44"/>
      <c r="D12" s="44"/>
      <c r="E12" s="44"/>
      <c r="F12" s="44"/>
      <c r="G12" s="44"/>
      <c r="H12" s="44"/>
      <c r="I12" s="44"/>
      <c r="J12" s="44"/>
      <c r="K12" s="44"/>
      <c r="L12" s="44"/>
      <c r="M12" s="44"/>
      <c r="N12" s="44"/>
    </row>
    <row r="13" spans="1:15" x14ac:dyDescent="0.25">
      <c r="A13" t="str">
        <f>'Monthly Sales Worksheet'!A18</f>
        <v>Corn</v>
      </c>
      <c r="B13" t="s">
        <v>164</v>
      </c>
      <c r="C13" s="8">
        <f>'Monthly Sales Worksheet'!C20*'Prior year summary'!$J12</f>
        <v>247000</v>
      </c>
      <c r="D13" s="8">
        <f>'Monthly Sales Worksheet'!D20*'Prior year summary'!$J12</f>
        <v>0</v>
      </c>
      <c r="E13" s="8">
        <f>'Monthly Sales Worksheet'!E20*'Prior year summary'!$J12</f>
        <v>0</v>
      </c>
      <c r="F13" s="8">
        <f>'Monthly Sales Worksheet'!F20*'Prior year summary'!$J12</f>
        <v>0</v>
      </c>
      <c r="G13" s="8">
        <f>'Monthly Sales Worksheet'!G20*'Prior year summary'!$J12</f>
        <v>0</v>
      </c>
      <c r="H13" s="8">
        <f>'Monthly Sales Worksheet'!H20*'Prior year summary'!$J12</f>
        <v>247000</v>
      </c>
      <c r="I13" s="8">
        <f>'Monthly Sales Worksheet'!I20*'Prior year summary'!$J12</f>
        <v>247000</v>
      </c>
      <c r="J13" s="8">
        <f>'Monthly Sales Worksheet'!J20*'Prior year summary'!$J12</f>
        <v>247000</v>
      </c>
      <c r="K13" s="8">
        <f>'Monthly Sales Worksheet'!K20*'Prior year summary'!$J12</f>
        <v>475000</v>
      </c>
      <c r="L13" s="8">
        <f>'Monthly Sales Worksheet'!L20*'Prior year summary'!$J12</f>
        <v>228000</v>
      </c>
      <c r="M13" s="8">
        <f>'Monthly Sales Worksheet'!M20*'Prior year summary'!$J12</f>
        <v>209000</v>
      </c>
      <c r="N13" s="8">
        <f>'Monthly Sales Worksheet'!N20*'Prior year summary'!$J12</f>
        <v>0</v>
      </c>
      <c r="O13" s="8">
        <f>SUM(C13:N13)</f>
        <v>1900000</v>
      </c>
    </row>
    <row r="14" spans="1:15" x14ac:dyDescent="0.25">
      <c r="B14" t="s">
        <v>165</v>
      </c>
      <c r="C14" s="8">
        <f>SUM($C13:C13)</f>
        <v>247000</v>
      </c>
      <c r="D14" s="8">
        <f>SUM($C13:D13)</f>
        <v>247000</v>
      </c>
      <c r="E14" s="8">
        <f>SUM($C13:E13)</f>
        <v>247000</v>
      </c>
      <c r="F14" s="8">
        <f>SUM($C13:F13)</f>
        <v>247000</v>
      </c>
      <c r="G14" s="8">
        <f>SUM($C13:G13)</f>
        <v>247000</v>
      </c>
      <c r="H14" s="8">
        <f>SUM($C13:H13)</f>
        <v>494000</v>
      </c>
      <c r="I14" s="8">
        <f>SUM($C13:I13)</f>
        <v>741000</v>
      </c>
      <c r="J14" s="8">
        <f>SUM($C13:J13)</f>
        <v>988000</v>
      </c>
      <c r="K14" s="8">
        <f>SUM($C13:K13)</f>
        <v>1463000</v>
      </c>
      <c r="L14" s="8">
        <f>SUM($C13:L13)</f>
        <v>1691000</v>
      </c>
      <c r="M14" s="8">
        <f>SUM($C13:M13)</f>
        <v>1900000</v>
      </c>
      <c r="N14" s="8">
        <f>SUM($C13:N13)</f>
        <v>1900000</v>
      </c>
    </row>
    <row r="15" spans="1:15" x14ac:dyDescent="0.25">
      <c r="B15" t="s">
        <v>166</v>
      </c>
      <c r="C15" s="44"/>
      <c r="D15" s="44"/>
      <c r="E15" s="44"/>
      <c r="F15" s="44"/>
      <c r="G15" s="44"/>
      <c r="H15" s="44"/>
      <c r="I15" s="44"/>
      <c r="J15" s="44"/>
      <c r="K15" s="44"/>
      <c r="L15" s="44"/>
      <c r="M15" s="44"/>
      <c r="N15" s="44"/>
    </row>
    <row r="16" spans="1:15" x14ac:dyDescent="0.25">
      <c r="A16" t="str">
        <f>'Monthly Sales Worksheet'!A21</f>
        <v>Soybeans</v>
      </c>
      <c r="B16" t="s">
        <v>164</v>
      </c>
      <c r="C16" s="8">
        <f>'Monthly Sales Worksheet'!C23*'Prior year summary'!$J13</f>
        <v>0</v>
      </c>
      <c r="D16" s="8">
        <f>'Monthly Sales Worksheet'!D23*'Prior year summary'!$J13</f>
        <v>0</v>
      </c>
      <c r="E16" s="8">
        <f>'Monthly Sales Worksheet'!E23*'Prior year summary'!$J13</f>
        <v>0</v>
      </c>
      <c r="F16" s="8">
        <f>'Monthly Sales Worksheet'!F23*'Prior year summary'!$J13</f>
        <v>0</v>
      </c>
      <c r="G16" s="8">
        <f>'Monthly Sales Worksheet'!G23*'Prior year summary'!$J13</f>
        <v>0</v>
      </c>
      <c r="H16" s="8">
        <f>'Monthly Sales Worksheet'!H23*'Prior year summary'!$J13</f>
        <v>0</v>
      </c>
      <c r="I16" s="8">
        <f>'Monthly Sales Worksheet'!I23*'Prior year summary'!$J13</f>
        <v>0</v>
      </c>
      <c r="J16" s="8">
        <f>'Monthly Sales Worksheet'!J23*'Prior year summary'!$J13</f>
        <v>0</v>
      </c>
      <c r="K16" s="8">
        <f>'Monthly Sales Worksheet'!K23*'Prior year summary'!$J13</f>
        <v>0</v>
      </c>
      <c r="L16" s="8">
        <f>'Monthly Sales Worksheet'!L23*'Prior year summary'!$J13</f>
        <v>0</v>
      </c>
      <c r="M16" s="8">
        <f>'Monthly Sales Worksheet'!M23*'Prior year summary'!$J13</f>
        <v>0</v>
      </c>
      <c r="N16" s="8">
        <f>'Monthly Sales Worksheet'!N23*'Prior year summary'!$J13</f>
        <v>0</v>
      </c>
      <c r="O16" s="8">
        <f>SUM(C16:N16)</f>
        <v>0</v>
      </c>
    </row>
    <row r="17" spans="1:15" x14ac:dyDescent="0.25">
      <c r="B17" t="s">
        <v>165</v>
      </c>
      <c r="C17" s="8">
        <f>SUM($C16:C16)</f>
        <v>0</v>
      </c>
      <c r="D17" s="8">
        <f>SUM($C16:D16)</f>
        <v>0</v>
      </c>
      <c r="E17" s="8">
        <f>SUM($C16:E16)</f>
        <v>0</v>
      </c>
      <c r="F17" s="8">
        <f>SUM($C16:F16)</f>
        <v>0</v>
      </c>
      <c r="G17" s="8">
        <f>SUM($C16:G16)</f>
        <v>0</v>
      </c>
      <c r="H17" s="8">
        <f>SUM($C16:H16)</f>
        <v>0</v>
      </c>
      <c r="I17" s="8">
        <f>SUM($C16:I16)</f>
        <v>0</v>
      </c>
      <c r="J17" s="8">
        <f>SUM($C16:J16)</f>
        <v>0</v>
      </c>
      <c r="K17" s="8">
        <f>SUM($C16:K16)</f>
        <v>0</v>
      </c>
      <c r="L17" s="8">
        <f>SUM($C16:L16)</f>
        <v>0</v>
      </c>
      <c r="M17" s="8">
        <f>SUM($C16:M16)</f>
        <v>0</v>
      </c>
      <c r="N17" s="8">
        <f>SUM($C16:N16)</f>
        <v>0</v>
      </c>
    </row>
    <row r="18" spans="1:15" x14ac:dyDescent="0.25">
      <c r="B18" t="s">
        <v>166</v>
      </c>
      <c r="C18" s="44"/>
      <c r="D18" s="44"/>
      <c r="E18" s="44"/>
      <c r="F18" s="44"/>
      <c r="G18" s="44"/>
      <c r="H18" s="44"/>
      <c r="I18" s="44"/>
      <c r="J18" s="44"/>
      <c r="K18" s="44"/>
      <c r="L18" s="44"/>
      <c r="M18" s="44"/>
      <c r="N18" s="44"/>
    </row>
    <row r="19" spans="1:15" x14ac:dyDescent="0.25">
      <c r="C19" s="8"/>
      <c r="D19" s="8"/>
      <c r="E19" s="8"/>
      <c r="F19" s="8"/>
      <c r="G19" s="8"/>
      <c r="H19" s="8"/>
      <c r="I19" s="8"/>
      <c r="J19" s="8"/>
      <c r="K19" s="8"/>
      <c r="L19" s="8"/>
      <c r="M19" s="8"/>
      <c r="N19" s="8"/>
      <c r="O19" s="8"/>
    </row>
    <row r="20" spans="1:15" x14ac:dyDescent="0.25">
      <c r="A20" t="s">
        <v>181</v>
      </c>
      <c r="B20" t="s">
        <v>164</v>
      </c>
      <c r="C20" s="8">
        <f>C4+C7+C10+C13+C16</f>
        <v>649361.31682539685</v>
      </c>
      <c r="D20" s="8">
        <f t="shared" ref="D20:O20" si="0">D4+D7+D10+D13+D16</f>
        <v>396825.39682539681</v>
      </c>
      <c r="E20" s="8">
        <f t="shared" si="0"/>
        <v>396825.39682539681</v>
      </c>
      <c r="F20" s="8">
        <f t="shared" si="0"/>
        <v>396825.39682539681</v>
      </c>
      <c r="G20" s="8">
        <f t="shared" si="0"/>
        <v>396825.39682539681</v>
      </c>
      <c r="H20" s="8">
        <f t="shared" si="0"/>
        <v>649361.31682539685</v>
      </c>
      <c r="I20" s="8">
        <f t="shared" si="0"/>
        <v>649361.31682539685</v>
      </c>
      <c r="J20" s="8">
        <f t="shared" si="0"/>
        <v>649361.31682539685</v>
      </c>
      <c r="K20" s="8">
        <f t="shared" si="0"/>
        <v>882471.39682539681</v>
      </c>
      <c r="L20" s="8">
        <f t="shared" si="0"/>
        <v>629935.47682539676</v>
      </c>
      <c r="M20" s="8">
        <f t="shared" si="0"/>
        <v>610509.6368253968</v>
      </c>
      <c r="N20" s="8">
        <f t="shared" si="0"/>
        <v>396825.39682539651</v>
      </c>
      <c r="O20" s="8">
        <f t="shared" si="0"/>
        <v>6704488.7619047621</v>
      </c>
    </row>
    <row r="21" spans="1:15" x14ac:dyDescent="0.25">
      <c r="B21" t="s">
        <v>165</v>
      </c>
      <c r="C21" s="8">
        <f t="shared" ref="C21:N22" si="1">C5+C8+C11+C14+C17</f>
        <v>649361.31682539685</v>
      </c>
      <c r="D21" s="8">
        <f t="shared" si="1"/>
        <v>1046186.7136507937</v>
      </c>
      <c r="E21" s="8">
        <f t="shared" si="1"/>
        <v>1443012.1104761905</v>
      </c>
      <c r="F21" s="8">
        <f t="shared" si="1"/>
        <v>1839837.5073015874</v>
      </c>
      <c r="G21" s="8">
        <f t="shared" si="1"/>
        <v>2236662.9041269841</v>
      </c>
      <c r="H21" s="8">
        <f t="shared" si="1"/>
        <v>2886024.2209523814</v>
      </c>
      <c r="I21" s="8">
        <f t="shared" si="1"/>
        <v>3535385.5377777782</v>
      </c>
      <c r="J21" s="8">
        <f t="shared" si="1"/>
        <v>4184746.8546031751</v>
      </c>
      <c r="K21" s="8">
        <f t="shared" si="1"/>
        <v>5067218.2514285725</v>
      </c>
      <c r="L21" s="8">
        <f t="shared" si="1"/>
        <v>5697153.728253969</v>
      </c>
      <c r="M21" s="8">
        <f t="shared" si="1"/>
        <v>6307663.3650793657</v>
      </c>
      <c r="N21" s="8">
        <f t="shared" si="1"/>
        <v>6704488.7619047621</v>
      </c>
    </row>
    <row r="22" spans="1:15" x14ac:dyDescent="0.25">
      <c r="B22" t="s">
        <v>166</v>
      </c>
      <c r="C22" s="8">
        <f t="shared" si="1"/>
        <v>0</v>
      </c>
      <c r="D22" s="8">
        <f t="shared" si="1"/>
        <v>0</v>
      </c>
      <c r="E22" s="8">
        <f t="shared" si="1"/>
        <v>0</v>
      </c>
      <c r="F22" s="8">
        <f t="shared" si="1"/>
        <v>0</v>
      </c>
      <c r="G22" s="8">
        <f t="shared" si="1"/>
        <v>0</v>
      </c>
      <c r="H22" s="8">
        <f t="shared" si="1"/>
        <v>0</v>
      </c>
      <c r="I22" s="8">
        <f t="shared" si="1"/>
        <v>0</v>
      </c>
      <c r="J22" s="8">
        <f t="shared" si="1"/>
        <v>0</v>
      </c>
      <c r="K22" s="8">
        <f t="shared" si="1"/>
        <v>0</v>
      </c>
      <c r="L22" s="8">
        <f t="shared" si="1"/>
        <v>0</v>
      </c>
      <c r="M22" s="8">
        <f t="shared" si="1"/>
        <v>0</v>
      </c>
      <c r="N22" s="8">
        <f t="shared" si="1"/>
        <v>0</v>
      </c>
    </row>
    <row r="23" spans="1:15" x14ac:dyDescent="0.25">
      <c r="C23" s="8"/>
      <c r="D23" s="8"/>
      <c r="E23" s="8"/>
      <c r="F23" s="8"/>
      <c r="G23" s="8"/>
      <c r="H23" s="8"/>
      <c r="I23" s="8"/>
      <c r="J23" s="8"/>
      <c r="K23" s="8"/>
      <c r="L23" s="8"/>
      <c r="M23" s="8"/>
      <c r="N23" s="8"/>
    </row>
    <row r="24" spans="1:15" x14ac:dyDescent="0.25">
      <c r="A24" t="str">
        <f>'Monthly Sales Worksheet'!A26</f>
        <v>FARM SUPPLY</v>
      </c>
    </row>
    <row r="25" spans="1:15" x14ac:dyDescent="0.25">
      <c r="A25" t="str">
        <f>'Monthly Sales Worksheet'!A27</f>
        <v>Feed</v>
      </c>
      <c r="B25" t="s">
        <v>164</v>
      </c>
      <c r="C25" s="8">
        <f>'Monthly Sales Worksheet'!C29*'Prior year summary'!$J17</f>
        <v>156983.848</v>
      </c>
      <c r="D25" s="8">
        <f>'Monthly Sales Worksheet'!D29*'Prior year summary'!$J17</f>
        <v>156983.848</v>
      </c>
      <c r="E25" s="8">
        <f>'Monthly Sales Worksheet'!E29*'Prior year summary'!$J17</f>
        <v>156983.848</v>
      </c>
      <c r="F25" s="8">
        <f>'Monthly Sales Worksheet'!F29*'Prior year summary'!$J17</f>
        <v>156983.848</v>
      </c>
      <c r="G25" s="8">
        <f>'Monthly Sales Worksheet'!G29*'Prior year summary'!$J17</f>
        <v>156983.848</v>
      </c>
      <c r="H25" s="8">
        <f>'Monthly Sales Worksheet'!H29*'Prior year summary'!$J17</f>
        <v>156983.848</v>
      </c>
      <c r="I25" s="8">
        <f>'Monthly Sales Worksheet'!I29*'Prior year summary'!$J17</f>
        <v>156983.848</v>
      </c>
      <c r="J25" s="8">
        <f>'Monthly Sales Worksheet'!J29*'Prior year summary'!$J17</f>
        <v>156983.848</v>
      </c>
      <c r="K25" s="8">
        <f>'Monthly Sales Worksheet'!K29*'Prior year summary'!$J17</f>
        <v>156983.848</v>
      </c>
      <c r="L25" s="8">
        <f>'Monthly Sales Worksheet'!L29*'Prior year summary'!$J17</f>
        <v>156983.848</v>
      </c>
      <c r="M25" s="8">
        <f>'Monthly Sales Worksheet'!M29*'Prior year summary'!$J17</f>
        <v>156983.848</v>
      </c>
      <c r="N25" s="8">
        <f>'Monthly Sales Worksheet'!N29*'Prior year summary'!$J17</f>
        <v>157737.67199999979</v>
      </c>
      <c r="O25" s="8">
        <f>SUM(C25:N25)</f>
        <v>1884559.9999999998</v>
      </c>
    </row>
    <row r="26" spans="1:15" x14ac:dyDescent="0.25">
      <c r="B26" t="s">
        <v>165</v>
      </c>
      <c r="C26" s="8">
        <f>SUM($C25:C25)</f>
        <v>156983.848</v>
      </c>
      <c r="D26" s="8">
        <f>SUM($C25:D25)</f>
        <v>313967.696</v>
      </c>
      <c r="E26" s="8">
        <f>SUM($C25:E25)</f>
        <v>470951.54399999999</v>
      </c>
      <c r="F26" s="8">
        <f>SUM($C25:F25)</f>
        <v>627935.39199999999</v>
      </c>
      <c r="G26" s="8">
        <f>SUM($C25:G25)</f>
        <v>784919.24</v>
      </c>
      <c r="H26" s="8">
        <f>SUM($C25:H25)</f>
        <v>941903.08799999999</v>
      </c>
      <c r="I26" s="8">
        <f>SUM($C25:I25)</f>
        <v>1098886.936</v>
      </c>
      <c r="J26" s="8">
        <f>SUM($C25:J25)</f>
        <v>1255870.784</v>
      </c>
      <c r="K26" s="8">
        <f>SUM($C25:K25)</f>
        <v>1412854.632</v>
      </c>
      <c r="L26" s="8">
        <f>SUM($C25:L25)</f>
        <v>1569838.48</v>
      </c>
      <c r="M26" s="8">
        <f>SUM($C25:M25)</f>
        <v>1726822.328</v>
      </c>
      <c r="N26" s="8">
        <f>SUM($C25:N25)</f>
        <v>1884559.9999999998</v>
      </c>
    </row>
    <row r="27" spans="1:15" x14ac:dyDescent="0.25">
      <c r="B27" t="s">
        <v>166</v>
      </c>
      <c r="C27" s="44"/>
      <c r="D27" s="44"/>
      <c r="E27" s="44"/>
      <c r="F27" s="44"/>
      <c r="G27" s="44"/>
      <c r="H27" s="44"/>
      <c r="I27" s="44"/>
      <c r="J27" s="44"/>
      <c r="K27" s="44"/>
      <c r="L27" s="44"/>
      <c r="M27" s="44"/>
      <c r="N27" s="44"/>
    </row>
    <row r="28" spans="1:15" x14ac:dyDescent="0.25">
      <c r="A28" t="str">
        <f>'Monthly Sales Worksheet'!A30</f>
        <v>Fertilizer</v>
      </c>
      <c r="B28" t="s">
        <v>164</v>
      </c>
      <c r="C28" s="8">
        <f>'Monthly Sales Worksheet'!C32*'Prior year summary'!$J18</f>
        <v>206584</v>
      </c>
      <c r="D28" s="8">
        <f>'Monthly Sales Worksheet'!D32*'Prior year summary'!$J18</f>
        <v>206584</v>
      </c>
      <c r="E28" s="8">
        <f>'Monthly Sales Worksheet'!E32*'Prior year summary'!$J18</f>
        <v>206584</v>
      </c>
      <c r="F28" s="8">
        <f>'Monthly Sales Worksheet'!F32*'Prior year summary'!$J18</f>
        <v>206584</v>
      </c>
      <c r="G28" s="8">
        <f>'Monthly Sales Worksheet'!G32*'Prior year summary'!$J18</f>
        <v>206584</v>
      </c>
      <c r="H28" s="8">
        <f>'Monthly Sales Worksheet'!H32*'Prior year summary'!$J18</f>
        <v>206584</v>
      </c>
      <c r="I28" s="8">
        <f>'Monthly Sales Worksheet'!I32*'Prior year summary'!$J18</f>
        <v>206584</v>
      </c>
      <c r="J28" s="8">
        <f>'Monthly Sales Worksheet'!J32*'Prior year summary'!$J18</f>
        <v>206584</v>
      </c>
      <c r="K28" s="8">
        <f>'Monthly Sales Worksheet'!K32*'Prior year summary'!$J18</f>
        <v>206584</v>
      </c>
      <c r="L28" s="8">
        <f>'Monthly Sales Worksheet'!L32*'Prior year summary'!$J18</f>
        <v>206584</v>
      </c>
      <c r="M28" s="8">
        <f>'Monthly Sales Worksheet'!M32*'Prior year summary'!$J18</f>
        <v>206584</v>
      </c>
      <c r="N28" s="8">
        <f>'Monthly Sales Worksheet'!N32*'Prior year summary'!$J18</f>
        <v>207575.99999999971</v>
      </c>
      <c r="O28" s="8">
        <f>SUM(C28:N28)</f>
        <v>2479999.9999999995</v>
      </c>
    </row>
    <row r="29" spans="1:15" x14ac:dyDescent="0.25">
      <c r="B29" t="s">
        <v>165</v>
      </c>
      <c r="C29" s="8">
        <f>SUM($C28:C28)</f>
        <v>206584</v>
      </c>
      <c r="D29" s="8">
        <f>SUM($C28:D28)</f>
        <v>413168</v>
      </c>
      <c r="E29" s="8">
        <f>SUM($C28:E28)</f>
        <v>619752</v>
      </c>
      <c r="F29" s="8">
        <f>SUM($C28:F28)</f>
        <v>826336</v>
      </c>
      <c r="G29" s="8">
        <f>SUM($C28:G28)</f>
        <v>1032920</v>
      </c>
      <c r="H29" s="8">
        <f>SUM($C28:H28)</f>
        <v>1239504</v>
      </c>
      <c r="I29" s="8">
        <f>SUM($C28:I28)</f>
        <v>1446088</v>
      </c>
      <c r="J29" s="8">
        <f>SUM($C28:J28)</f>
        <v>1652672</v>
      </c>
      <c r="K29" s="8">
        <f>SUM($C28:K28)</f>
        <v>1859256</v>
      </c>
      <c r="L29" s="8">
        <f>SUM($C28:L28)</f>
        <v>2065840</v>
      </c>
      <c r="M29" s="8">
        <f>SUM($C28:M28)</f>
        <v>2272424</v>
      </c>
      <c r="N29" s="8">
        <f>SUM($C28:N28)</f>
        <v>2479999.9999999995</v>
      </c>
    </row>
    <row r="30" spans="1:15" x14ac:dyDescent="0.25">
      <c r="B30" t="s">
        <v>166</v>
      </c>
      <c r="C30" s="44"/>
      <c r="D30" s="44"/>
      <c r="E30" s="44"/>
      <c r="F30" s="44"/>
      <c r="G30" s="44"/>
      <c r="H30" s="44"/>
      <c r="I30" s="44"/>
      <c r="J30" s="44"/>
      <c r="K30" s="44"/>
      <c r="L30" s="44"/>
      <c r="M30" s="44"/>
      <c r="N30" s="44"/>
    </row>
    <row r="31" spans="1:15" x14ac:dyDescent="0.25">
      <c r="A31" t="str">
        <f>'Monthly Sales Worksheet'!A33</f>
        <v>Lime</v>
      </c>
      <c r="B31" t="s">
        <v>164</v>
      </c>
      <c r="C31" s="8">
        <f>'Monthly Sales Worksheet'!C35*'Prior year summary'!$J19</f>
        <v>38624.460699999996</v>
      </c>
      <c r="D31" s="8">
        <f>'Monthly Sales Worksheet'!D35*'Prior year summary'!$J19</f>
        <v>38624.460699999996</v>
      </c>
      <c r="E31" s="8">
        <f>'Monthly Sales Worksheet'!E35*'Prior year summary'!$J19</f>
        <v>38624.460699999996</v>
      </c>
      <c r="F31" s="8">
        <f>'Monthly Sales Worksheet'!F35*'Prior year summary'!$J19</f>
        <v>38624.460699999996</v>
      </c>
      <c r="G31" s="8">
        <f>'Monthly Sales Worksheet'!G35*'Prior year summary'!$J19</f>
        <v>38624.460699999996</v>
      </c>
      <c r="H31" s="8">
        <f>'Monthly Sales Worksheet'!H35*'Prior year summary'!$J19</f>
        <v>38624.460699999996</v>
      </c>
      <c r="I31" s="8">
        <f>'Monthly Sales Worksheet'!I35*'Prior year summary'!$J19</f>
        <v>38624.460699999996</v>
      </c>
      <c r="J31" s="8">
        <f>'Monthly Sales Worksheet'!J35*'Prior year summary'!$J19</f>
        <v>38624.460699999996</v>
      </c>
      <c r="K31" s="8">
        <f>'Monthly Sales Worksheet'!K35*'Prior year summary'!$J19</f>
        <v>38624.460699999996</v>
      </c>
      <c r="L31" s="8">
        <f>'Monthly Sales Worksheet'!L35*'Prior year summary'!$J19</f>
        <v>38624.460699999996</v>
      </c>
      <c r="M31" s="8">
        <f>'Monthly Sales Worksheet'!M35*'Prior year summary'!$J19</f>
        <v>38624.460699999996</v>
      </c>
      <c r="N31" s="8">
        <f>'Monthly Sales Worksheet'!N35*'Prior year summary'!$J19</f>
        <v>38809.932299999949</v>
      </c>
      <c r="O31" s="8">
        <f>SUM(C31:N31)</f>
        <v>463678.99999999988</v>
      </c>
    </row>
    <row r="32" spans="1:15" x14ac:dyDescent="0.25">
      <c r="B32" t="s">
        <v>165</v>
      </c>
      <c r="C32" s="8">
        <f>SUM($C31:C31)</f>
        <v>38624.460699999996</v>
      </c>
      <c r="D32" s="8">
        <f>SUM($C31:D31)</f>
        <v>77248.921399999992</v>
      </c>
      <c r="E32" s="8">
        <f>SUM($C31:E31)</f>
        <v>115873.38209999999</v>
      </c>
      <c r="F32" s="8">
        <f>SUM($C31:F31)</f>
        <v>154497.84279999998</v>
      </c>
      <c r="G32" s="8">
        <f>SUM($C31:G31)</f>
        <v>193122.30349999998</v>
      </c>
      <c r="H32" s="8">
        <f>SUM($C31:H31)</f>
        <v>231746.76419999998</v>
      </c>
      <c r="I32" s="8">
        <f>SUM($C31:I31)</f>
        <v>270371.22489999997</v>
      </c>
      <c r="J32" s="8">
        <f>SUM($C31:J31)</f>
        <v>308995.68559999997</v>
      </c>
      <c r="K32" s="8">
        <f>SUM($C31:K31)</f>
        <v>347620.14629999996</v>
      </c>
      <c r="L32" s="8">
        <f>SUM($C31:L31)</f>
        <v>386244.60699999996</v>
      </c>
      <c r="M32" s="8">
        <f>SUM($C31:M31)</f>
        <v>424869.06769999996</v>
      </c>
      <c r="N32" s="8">
        <f>SUM($C31:N31)</f>
        <v>463678.99999999988</v>
      </c>
    </row>
    <row r="33" spans="1:15" x14ac:dyDescent="0.25">
      <c r="B33" t="s">
        <v>166</v>
      </c>
      <c r="C33" s="44"/>
      <c r="D33" s="44"/>
      <c r="E33" s="44"/>
      <c r="F33" s="44"/>
      <c r="G33" s="44"/>
      <c r="H33" s="44"/>
      <c r="I33" s="44"/>
      <c r="J33" s="44"/>
      <c r="K33" s="44"/>
      <c r="L33" s="44"/>
      <c r="M33" s="44"/>
      <c r="N33" s="44"/>
    </row>
    <row r="34" spans="1:15" x14ac:dyDescent="0.25">
      <c r="A34" t="str">
        <f>'Monthly Sales Worksheet'!A36</f>
        <v>Propane</v>
      </c>
      <c r="B34" t="s">
        <v>164</v>
      </c>
      <c r="C34" s="8">
        <f>'Monthly Sales Worksheet'!C38*'Prior year summary'!$J20</f>
        <v>15569.8529</v>
      </c>
      <c r="D34" s="8">
        <f>'Monthly Sales Worksheet'!D38*'Prior year summary'!$J20</f>
        <v>15569.8529</v>
      </c>
      <c r="E34" s="8">
        <f>'Monthly Sales Worksheet'!E38*'Prior year summary'!$J20</f>
        <v>15569.8529</v>
      </c>
      <c r="F34" s="8">
        <f>'Monthly Sales Worksheet'!F38*'Prior year summary'!$J20</f>
        <v>15569.8529</v>
      </c>
      <c r="G34" s="8">
        <f>'Monthly Sales Worksheet'!G38*'Prior year summary'!$J20</f>
        <v>15569.8529</v>
      </c>
      <c r="H34" s="8">
        <f>'Monthly Sales Worksheet'!H38*'Prior year summary'!$J20</f>
        <v>15569.8529</v>
      </c>
      <c r="I34" s="8">
        <f>'Monthly Sales Worksheet'!I38*'Prior year summary'!$J20</f>
        <v>15569.8529</v>
      </c>
      <c r="J34" s="8">
        <f>'Monthly Sales Worksheet'!J38*'Prior year summary'!$J20</f>
        <v>15569.8529</v>
      </c>
      <c r="K34" s="8">
        <f>'Monthly Sales Worksheet'!K38*'Prior year summary'!$J20</f>
        <v>15569.8529</v>
      </c>
      <c r="L34" s="8">
        <f>'Monthly Sales Worksheet'!L38*'Prior year summary'!$J20</f>
        <v>15569.8529</v>
      </c>
      <c r="M34" s="8">
        <f>'Monthly Sales Worksheet'!M38*'Prior year summary'!$J20</f>
        <v>15569.8529</v>
      </c>
      <c r="N34" s="8">
        <f>'Monthly Sales Worksheet'!N38*'Prior year summary'!$J20</f>
        <v>15644.618099999978</v>
      </c>
      <c r="O34" s="8">
        <f>SUM(C34:N34)</f>
        <v>186913</v>
      </c>
    </row>
    <row r="35" spans="1:15" x14ac:dyDescent="0.25">
      <c r="B35" t="s">
        <v>165</v>
      </c>
      <c r="C35" s="8">
        <f>SUM($C34:C34)</f>
        <v>15569.8529</v>
      </c>
      <c r="D35" s="8">
        <f>SUM($C34:D34)</f>
        <v>31139.7058</v>
      </c>
      <c r="E35" s="8">
        <f>SUM($C34:E34)</f>
        <v>46709.558700000001</v>
      </c>
      <c r="F35" s="8">
        <f>SUM($C34:F34)</f>
        <v>62279.411599999999</v>
      </c>
      <c r="G35" s="8">
        <f>SUM($C34:G34)</f>
        <v>77849.264500000005</v>
      </c>
      <c r="H35" s="8">
        <f>SUM($C34:H34)</f>
        <v>93419.117400000003</v>
      </c>
      <c r="I35" s="8">
        <f>SUM($C34:I34)</f>
        <v>108988.9703</v>
      </c>
      <c r="J35" s="8">
        <f>SUM($C34:J34)</f>
        <v>124558.8232</v>
      </c>
      <c r="K35" s="8">
        <f>SUM($C34:K34)</f>
        <v>140128.67610000001</v>
      </c>
      <c r="L35" s="8">
        <f>SUM($C34:L34)</f>
        <v>155698.52900000001</v>
      </c>
      <c r="M35" s="8">
        <f>SUM($C34:M34)</f>
        <v>171268.38190000001</v>
      </c>
      <c r="N35" s="8">
        <f>SUM($C34:N34)</f>
        <v>186913</v>
      </c>
    </row>
    <row r="36" spans="1:15" x14ac:dyDescent="0.25">
      <c r="B36" t="s">
        <v>166</v>
      </c>
      <c r="C36" s="44"/>
      <c r="D36" s="44"/>
      <c r="E36" s="44"/>
      <c r="F36" s="44"/>
      <c r="G36" s="44"/>
      <c r="H36" s="44"/>
      <c r="I36" s="44"/>
      <c r="J36" s="44"/>
      <c r="K36" s="44"/>
      <c r="L36" s="44"/>
      <c r="M36" s="44"/>
      <c r="N36" s="44"/>
    </row>
    <row r="37" spans="1:15" x14ac:dyDescent="0.25">
      <c r="A37" t="str">
        <f>'Monthly Sales Worksheet'!A39</f>
        <v>Gasoline</v>
      </c>
      <c r="B37" t="s">
        <v>164</v>
      </c>
      <c r="C37" s="8">
        <f>'Monthly Sales Worksheet'!C41*'Prior year summary'!$J21</f>
        <v>124950</v>
      </c>
      <c r="D37" s="8">
        <f>'Monthly Sales Worksheet'!D41*'Prior year summary'!$J21</f>
        <v>124950</v>
      </c>
      <c r="E37" s="8">
        <f>'Monthly Sales Worksheet'!E41*'Prior year summary'!$J21</f>
        <v>124950</v>
      </c>
      <c r="F37" s="8">
        <f>'Monthly Sales Worksheet'!F41*'Prior year summary'!$J21</f>
        <v>124950</v>
      </c>
      <c r="G37" s="8">
        <f>'Monthly Sales Worksheet'!G41*'Prior year summary'!$J21</f>
        <v>124950</v>
      </c>
      <c r="H37" s="8">
        <f>'Monthly Sales Worksheet'!H41*'Prior year summary'!$J21</f>
        <v>124950</v>
      </c>
      <c r="I37" s="8">
        <f>'Monthly Sales Worksheet'!I41*'Prior year summary'!$J21</f>
        <v>124950</v>
      </c>
      <c r="J37" s="8">
        <f>'Monthly Sales Worksheet'!J41*'Prior year summary'!$J21</f>
        <v>124950</v>
      </c>
      <c r="K37" s="8">
        <f>'Monthly Sales Worksheet'!K41*'Prior year summary'!$J21</f>
        <v>124950</v>
      </c>
      <c r="L37" s="8">
        <f>'Monthly Sales Worksheet'!L41*'Prior year summary'!$J21</f>
        <v>124950</v>
      </c>
      <c r="M37" s="8">
        <f>'Monthly Sales Worksheet'!M41*'Prior year summary'!$J21</f>
        <v>124950</v>
      </c>
      <c r="N37" s="8">
        <f>'Monthly Sales Worksheet'!N41*'Prior year summary'!$J21</f>
        <v>125549.99999999983</v>
      </c>
      <c r="O37" s="8">
        <f>SUM(C37:N37)</f>
        <v>1499999.9999999998</v>
      </c>
    </row>
    <row r="38" spans="1:15" x14ac:dyDescent="0.25">
      <c r="B38" t="s">
        <v>165</v>
      </c>
      <c r="C38" s="8">
        <f>SUM($C37:C37)</f>
        <v>124950</v>
      </c>
      <c r="D38" s="8">
        <f>SUM($C37:D37)</f>
        <v>249900</v>
      </c>
      <c r="E38" s="8">
        <f>SUM($C37:E37)</f>
        <v>374850</v>
      </c>
      <c r="F38" s="8">
        <f>SUM($C37:F37)</f>
        <v>499800</v>
      </c>
      <c r="G38" s="8">
        <f>SUM($C37:G37)</f>
        <v>624750</v>
      </c>
      <c r="H38" s="8">
        <f>SUM($C37:H37)</f>
        <v>749700</v>
      </c>
      <c r="I38" s="8">
        <f>SUM($C37:I37)</f>
        <v>874650</v>
      </c>
      <c r="J38" s="8">
        <f>SUM($C37:J37)</f>
        <v>999600</v>
      </c>
      <c r="K38" s="8">
        <f>SUM($C37:K37)</f>
        <v>1124550</v>
      </c>
      <c r="L38" s="8">
        <f>SUM($C37:L37)</f>
        <v>1249500</v>
      </c>
      <c r="M38" s="8">
        <f>SUM($C37:M37)</f>
        <v>1374450</v>
      </c>
      <c r="N38" s="8">
        <f>SUM($C37:N37)</f>
        <v>1499999.9999999998</v>
      </c>
    </row>
    <row r="39" spans="1:15" x14ac:dyDescent="0.25">
      <c r="B39" t="s">
        <v>166</v>
      </c>
      <c r="C39" s="44"/>
      <c r="D39" s="44"/>
      <c r="E39" s="44"/>
      <c r="F39" s="44"/>
      <c r="G39" s="44"/>
      <c r="H39" s="44"/>
      <c r="I39" s="44"/>
      <c r="J39" s="44"/>
      <c r="K39" s="44"/>
      <c r="L39" s="44"/>
      <c r="M39" s="44"/>
      <c r="N39" s="44"/>
    </row>
    <row r="40" spans="1:15" x14ac:dyDescent="0.25">
      <c r="A40" t="str">
        <f>'Monthly Sales Worksheet'!A42</f>
        <v>Diesel</v>
      </c>
      <c r="B40" t="s">
        <v>164</v>
      </c>
      <c r="C40" s="8">
        <f>'Monthly Sales Worksheet'!C44*'Prior year summary'!$J22</f>
        <v>617136.79649999994</v>
      </c>
      <c r="D40" s="8">
        <f>'Monthly Sales Worksheet'!D44*'Prior year summary'!$J22</f>
        <v>617136.79649999994</v>
      </c>
      <c r="E40" s="8">
        <f>'Monthly Sales Worksheet'!E44*'Prior year summary'!$J22</f>
        <v>617136.79649999994</v>
      </c>
      <c r="F40" s="8">
        <f>'Monthly Sales Worksheet'!F44*'Prior year summary'!$J22</f>
        <v>617136.79649999994</v>
      </c>
      <c r="G40" s="8">
        <f>'Monthly Sales Worksheet'!G44*'Prior year summary'!$J22</f>
        <v>617136.79649999994</v>
      </c>
      <c r="H40" s="8">
        <f>'Monthly Sales Worksheet'!H44*'Prior year summary'!$J22</f>
        <v>617136.79649999994</v>
      </c>
      <c r="I40" s="8">
        <f>'Monthly Sales Worksheet'!I44*'Prior year summary'!$J22</f>
        <v>617136.79649999994</v>
      </c>
      <c r="J40" s="8">
        <f>'Monthly Sales Worksheet'!J44*'Prior year summary'!$J22</f>
        <v>617136.79649999994</v>
      </c>
      <c r="K40" s="8">
        <f>'Monthly Sales Worksheet'!K44*'Prior year summary'!$J22</f>
        <v>617136.79649999994</v>
      </c>
      <c r="L40" s="8">
        <f>'Monthly Sales Worksheet'!L44*'Prior year summary'!$J22</f>
        <v>617136.79649999994</v>
      </c>
      <c r="M40" s="8">
        <f>'Monthly Sales Worksheet'!M44*'Prior year summary'!$J22</f>
        <v>617136.79649999994</v>
      </c>
      <c r="N40" s="8">
        <f>'Monthly Sales Worksheet'!N44*'Prior year summary'!$J22</f>
        <v>620100.23849999916</v>
      </c>
      <c r="O40" s="8">
        <f>SUM(C40:N40)</f>
        <v>7408605</v>
      </c>
    </row>
    <row r="41" spans="1:15" x14ac:dyDescent="0.25">
      <c r="B41" t="s">
        <v>165</v>
      </c>
      <c r="C41" s="8">
        <f>SUM($C40:C40)</f>
        <v>617136.79649999994</v>
      </c>
      <c r="D41" s="8">
        <f>SUM($C40:D40)</f>
        <v>1234273.5929999999</v>
      </c>
      <c r="E41" s="8">
        <f>SUM($C40:E40)</f>
        <v>1851410.3894999998</v>
      </c>
      <c r="F41" s="8">
        <f>SUM($C40:F40)</f>
        <v>2468547.1859999998</v>
      </c>
      <c r="G41" s="8">
        <f>SUM($C40:G40)</f>
        <v>3085683.9824999999</v>
      </c>
      <c r="H41" s="8">
        <f>SUM($C40:H40)</f>
        <v>3702820.7790000001</v>
      </c>
      <c r="I41" s="8">
        <f>SUM($C40:I40)</f>
        <v>4319957.5755000003</v>
      </c>
      <c r="J41" s="8">
        <f>SUM($C40:J40)</f>
        <v>4937094.3720000004</v>
      </c>
      <c r="K41" s="8">
        <f>SUM($C40:K40)</f>
        <v>5554231.1685000006</v>
      </c>
      <c r="L41" s="8">
        <f>SUM($C40:L40)</f>
        <v>6171367.9650000008</v>
      </c>
      <c r="M41" s="8">
        <f>SUM($C40:M40)</f>
        <v>6788504.761500001</v>
      </c>
      <c r="N41" s="8">
        <f>SUM($C40:N40)</f>
        <v>7408605</v>
      </c>
    </row>
    <row r="42" spans="1:15" x14ac:dyDescent="0.25">
      <c r="B42" t="s">
        <v>166</v>
      </c>
      <c r="C42" s="44"/>
      <c r="D42" s="44"/>
      <c r="E42" s="44"/>
      <c r="F42" s="44"/>
      <c r="G42" s="44"/>
      <c r="H42" s="44"/>
      <c r="I42" s="44"/>
      <c r="J42" s="44"/>
      <c r="K42" s="44"/>
      <c r="L42" s="44"/>
      <c r="M42" s="44"/>
      <c r="N42" s="44"/>
    </row>
    <row r="43" spans="1:15" x14ac:dyDescent="0.25">
      <c r="A43" t="str">
        <f>'Monthly Sales Worksheet'!A45</f>
        <v>FS 7</v>
      </c>
      <c r="B43" t="s">
        <v>164</v>
      </c>
      <c r="C43" s="8">
        <f>'Monthly Sales Worksheet'!C47*'Prior year summary'!$J23</f>
        <v>0</v>
      </c>
      <c r="D43" s="8">
        <f>'Monthly Sales Worksheet'!D47*'Prior year summary'!$J23</f>
        <v>0</v>
      </c>
      <c r="E43" s="8">
        <f>'Monthly Sales Worksheet'!E47*'Prior year summary'!$J23</f>
        <v>0</v>
      </c>
      <c r="F43" s="8">
        <f>'Monthly Sales Worksheet'!F47*'Prior year summary'!$J23</f>
        <v>0</v>
      </c>
      <c r="G43" s="8">
        <f>'Monthly Sales Worksheet'!G47*'Prior year summary'!$J23</f>
        <v>0</v>
      </c>
      <c r="H43" s="8">
        <f>'Monthly Sales Worksheet'!H47*'Prior year summary'!$J23</f>
        <v>0</v>
      </c>
      <c r="I43" s="8">
        <f>'Monthly Sales Worksheet'!I47*'Prior year summary'!$J23</f>
        <v>0</v>
      </c>
      <c r="J43" s="8">
        <f>'Monthly Sales Worksheet'!J47*'Prior year summary'!$J23</f>
        <v>0</v>
      </c>
      <c r="K43" s="8">
        <f>'Monthly Sales Worksheet'!K47*'Prior year summary'!$J23</f>
        <v>0</v>
      </c>
      <c r="L43" s="8">
        <f>'Monthly Sales Worksheet'!L47*'Prior year summary'!$J23</f>
        <v>0</v>
      </c>
      <c r="M43" s="8">
        <f>'Monthly Sales Worksheet'!M47*'Prior year summary'!$J23</f>
        <v>0</v>
      </c>
      <c r="N43" s="8">
        <f>'Monthly Sales Worksheet'!N47*'Prior year summary'!$J23</f>
        <v>0</v>
      </c>
      <c r="O43" s="8">
        <f>SUM(C43:N43)</f>
        <v>0</v>
      </c>
    </row>
    <row r="44" spans="1:15" x14ac:dyDescent="0.25">
      <c r="B44" t="s">
        <v>165</v>
      </c>
      <c r="C44" s="8">
        <f>SUM($C43:C43)</f>
        <v>0</v>
      </c>
      <c r="D44" s="8">
        <f>SUM($C43:D43)</f>
        <v>0</v>
      </c>
      <c r="E44" s="8">
        <f>SUM($C43:E43)</f>
        <v>0</v>
      </c>
      <c r="F44" s="8">
        <f>SUM($C43:F43)</f>
        <v>0</v>
      </c>
      <c r="G44" s="8">
        <f>SUM($C43:G43)</f>
        <v>0</v>
      </c>
      <c r="H44" s="8">
        <f>SUM($C43:H43)</f>
        <v>0</v>
      </c>
      <c r="I44" s="8">
        <f>SUM($C43:I43)</f>
        <v>0</v>
      </c>
      <c r="J44" s="8">
        <f>SUM($C43:J43)</f>
        <v>0</v>
      </c>
      <c r="K44" s="8">
        <f>SUM($C43:K43)</f>
        <v>0</v>
      </c>
      <c r="L44" s="8">
        <f>SUM($C43:L43)</f>
        <v>0</v>
      </c>
      <c r="M44" s="8">
        <f>SUM($C43:M43)</f>
        <v>0</v>
      </c>
      <c r="N44" s="8">
        <f>SUM($C43:N43)</f>
        <v>0</v>
      </c>
    </row>
    <row r="45" spans="1:15" x14ac:dyDescent="0.25">
      <c r="B45" t="s">
        <v>166</v>
      </c>
      <c r="C45" s="44"/>
      <c r="D45" s="44"/>
      <c r="E45" s="44"/>
      <c r="F45" s="44"/>
      <c r="G45" s="44"/>
      <c r="H45" s="44"/>
      <c r="I45" s="44"/>
      <c r="J45" s="44"/>
      <c r="K45" s="44"/>
      <c r="L45" s="44"/>
      <c r="M45" s="44"/>
      <c r="N45" s="44"/>
    </row>
    <row r="46" spans="1:15" x14ac:dyDescent="0.25">
      <c r="A46" t="str">
        <f>'Monthly Sales Worksheet'!A48</f>
        <v>Chemical</v>
      </c>
      <c r="B46" t="s">
        <v>164</v>
      </c>
      <c r="C46" s="8">
        <f>'Monthly Sales Worksheet'!C50*'Prior year summary'!$J24</f>
        <v>257921.87330000001</v>
      </c>
      <c r="D46" s="8">
        <f>'Monthly Sales Worksheet'!D50*'Prior year summary'!$J24</f>
        <v>257921.87330000001</v>
      </c>
      <c r="E46" s="8">
        <f>'Monthly Sales Worksheet'!E50*'Prior year summary'!$J24</f>
        <v>257921.87330000001</v>
      </c>
      <c r="F46" s="8">
        <f>'Monthly Sales Worksheet'!F50*'Prior year summary'!$J24</f>
        <v>257921.87330000001</v>
      </c>
      <c r="G46" s="8">
        <f>'Monthly Sales Worksheet'!G50*'Prior year summary'!$J24</f>
        <v>257921.87330000001</v>
      </c>
      <c r="H46" s="8">
        <f>'Monthly Sales Worksheet'!H50*'Prior year summary'!$J24</f>
        <v>257921.87330000001</v>
      </c>
      <c r="I46" s="8">
        <f>'Monthly Sales Worksheet'!I50*'Prior year summary'!$J24</f>
        <v>257921.87330000001</v>
      </c>
      <c r="J46" s="8">
        <f>'Monthly Sales Worksheet'!J50*'Prior year summary'!$J24</f>
        <v>257921.87330000001</v>
      </c>
      <c r="K46" s="8">
        <f>'Monthly Sales Worksheet'!K50*'Prior year summary'!$J24</f>
        <v>257921.87330000001</v>
      </c>
      <c r="L46" s="8">
        <f>'Monthly Sales Worksheet'!L50*'Prior year summary'!$J24</f>
        <v>257921.87330000001</v>
      </c>
      <c r="M46" s="8">
        <f>'Monthly Sales Worksheet'!M50*'Prior year summary'!$J24</f>
        <v>257921.87330000001</v>
      </c>
      <c r="N46" s="8">
        <f>'Monthly Sales Worksheet'!N50*'Prior year summary'!$J24</f>
        <v>259160.39369999964</v>
      </c>
      <c r="O46" s="8">
        <f>SUM(C46:N46)</f>
        <v>3096301</v>
      </c>
    </row>
    <row r="47" spans="1:15" x14ac:dyDescent="0.25">
      <c r="B47" t="s">
        <v>165</v>
      </c>
      <c r="C47" s="8">
        <f>SUM($C46:C46)</f>
        <v>257921.87330000001</v>
      </c>
      <c r="D47" s="8">
        <f>SUM($C46:D46)</f>
        <v>515843.74660000001</v>
      </c>
      <c r="E47" s="8">
        <f>SUM($C46:E46)</f>
        <v>773765.61990000005</v>
      </c>
      <c r="F47" s="8">
        <f>SUM($C46:F46)</f>
        <v>1031687.4932</v>
      </c>
      <c r="G47" s="8">
        <f>SUM($C46:G46)</f>
        <v>1289609.3665</v>
      </c>
      <c r="H47" s="8">
        <f>SUM($C46:H46)</f>
        <v>1547531.2398000001</v>
      </c>
      <c r="I47" s="8">
        <f>SUM($C46:I46)</f>
        <v>1805453.1131000002</v>
      </c>
      <c r="J47" s="8">
        <f>SUM($C46:J46)</f>
        <v>2063374.9864000003</v>
      </c>
      <c r="K47" s="8">
        <f>SUM($C46:K46)</f>
        <v>2321296.8597000004</v>
      </c>
      <c r="L47" s="8">
        <f>SUM($C46:L46)</f>
        <v>2579218.7330000005</v>
      </c>
      <c r="M47" s="8">
        <f>SUM($C46:M46)</f>
        <v>2837140.6063000006</v>
      </c>
      <c r="N47" s="8">
        <f>SUM($C46:N46)</f>
        <v>3096301</v>
      </c>
    </row>
    <row r="48" spans="1:15" x14ac:dyDescent="0.25">
      <c r="B48" t="s">
        <v>166</v>
      </c>
      <c r="C48" s="44"/>
      <c r="D48" s="44"/>
      <c r="E48" s="44"/>
      <c r="F48" s="44"/>
      <c r="G48" s="44"/>
      <c r="H48" s="44"/>
      <c r="I48" s="44"/>
      <c r="J48" s="44"/>
      <c r="K48" s="44"/>
      <c r="L48" s="44"/>
      <c r="M48" s="44"/>
      <c r="N48" s="44"/>
    </row>
    <row r="49" spans="1:15" x14ac:dyDescent="0.25">
      <c r="A49" t="str">
        <f>'Monthly Sales Worksheet'!A51</f>
        <v>Seed</v>
      </c>
      <c r="B49" t="s">
        <v>164</v>
      </c>
      <c r="C49" s="8">
        <f>'Monthly Sales Worksheet'!C53*'Prior year summary'!$J25</f>
        <v>45110.948400000001</v>
      </c>
      <c r="D49" s="8">
        <f>'Monthly Sales Worksheet'!D53*'Prior year summary'!$J25</f>
        <v>45110.948400000001</v>
      </c>
      <c r="E49" s="8">
        <f>'Monthly Sales Worksheet'!E53*'Prior year summary'!$J25</f>
        <v>45110.948400000001</v>
      </c>
      <c r="F49" s="8">
        <f>'Monthly Sales Worksheet'!F53*'Prior year summary'!$J25</f>
        <v>45110.948400000001</v>
      </c>
      <c r="G49" s="8">
        <f>'Monthly Sales Worksheet'!G53*'Prior year summary'!$J25</f>
        <v>45110.948400000001</v>
      </c>
      <c r="H49" s="8">
        <f>'Monthly Sales Worksheet'!H53*'Prior year summary'!$J25</f>
        <v>45110.948400000001</v>
      </c>
      <c r="I49" s="8">
        <f>'Monthly Sales Worksheet'!I53*'Prior year summary'!$J25</f>
        <v>45110.948400000001</v>
      </c>
      <c r="J49" s="8">
        <f>'Monthly Sales Worksheet'!J53*'Prior year summary'!$J25</f>
        <v>45110.948400000001</v>
      </c>
      <c r="K49" s="8">
        <f>'Monthly Sales Worksheet'!K53*'Prior year summary'!$J25</f>
        <v>45110.948400000001</v>
      </c>
      <c r="L49" s="8">
        <f>'Monthly Sales Worksheet'!L53*'Prior year summary'!$J25</f>
        <v>45110.948400000001</v>
      </c>
      <c r="M49" s="8">
        <f>'Monthly Sales Worksheet'!M53*'Prior year summary'!$J25</f>
        <v>45110.948400000001</v>
      </c>
      <c r="N49" s="8">
        <f>'Monthly Sales Worksheet'!N53*'Prior year summary'!$J25</f>
        <v>45327.567599999937</v>
      </c>
      <c r="O49" s="8">
        <f>SUM(C49:N49)</f>
        <v>541547.99999999988</v>
      </c>
    </row>
    <row r="50" spans="1:15" x14ac:dyDescent="0.25">
      <c r="B50" t="s">
        <v>165</v>
      </c>
      <c r="C50" s="8">
        <f>SUM($C49:C49)</f>
        <v>45110.948400000001</v>
      </c>
      <c r="D50" s="8">
        <f>SUM($C49:D49)</f>
        <v>90221.896800000002</v>
      </c>
      <c r="E50" s="8">
        <f>SUM($C49:E49)</f>
        <v>135332.84520000001</v>
      </c>
      <c r="F50" s="8">
        <f>SUM($C49:F49)</f>
        <v>180443.7936</v>
      </c>
      <c r="G50" s="8">
        <f>SUM($C49:G49)</f>
        <v>225554.742</v>
      </c>
      <c r="H50" s="8">
        <f>SUM($C49:H49)</f>
        <v>270665.69040000002</v>
      </c>
      <c r="I50" s="8">
        <f>SUM($C49:I49)</f>
        <v>315776.63880000002</v>
      </c>
      <c r="J50" s="8">
        <f>SUM($C49:J49)</f>
        <v>360887.58720000001</v>
      </c>
      <c r="K50" s="8">
        <f>SUM($C49:K49)</f>
        <v>405998.5356</v>
      </c>
      <c r="L50" s="8">
        <f>SUM($C49:L49)</f>
        <v>451109.484</v>
      </c>
      <c r="M50" s="8">
        <f>SUM($C49:M49)</f>
        <v>496220.43239999999</v>
      </c>
      <c r="N50" s="8">
        <f>SUM($C49:N49)</f>
        <v>541547.99999999988</v>
      </c>
    </row>
    <row r="51" spans="1:15" x14ac:dyDescent="0.25">
      <c r="B51" t="s">
        <v>166</v>
      </c>
      <c r="C51" s="44"/>
      <c r="D51" s="44"/>
      <c r="E51" s="44"/>
      <c r="F51" s="44"/>
      <c r="G51" s="44"/>
      <c r="H51" s="44"/>
      <c r="I51" s="44"/>
      <c r="J51" s="44"/>
      <c r="K51" s="44"/>
      <c r="L51" s="44"/>
      <c r="M51" s="44"/>
      <c r="N51" s="44"/>
    </row>
    <row r="52" spans="1:15" x14ac:dyDescent="0.25">
      <c r="A52" t="str">
        <f>'Monthly Sales Worksheet'!A54</f>
        <v>Oil and grease</v>
      </c>
      <c r="B52" t="s">
        <v>164</v>
      </c>
      <c r="C52" s="8">
        <f>'Monthly Sales Worksheet'!C56*'Prior year summary'!$J26</f>
        <v>27163.7968</v>
      </c>
      <c r="D52" s="8">
        <f>'Monthly Sales Worksheet'!D56*'Prior year summary'!$J26</f>
        <v>27163.7968</v>
      </c>
      <c r="E52" s="8">
        <f>'Monthly Sales Worksheet'!E56*'Prior year summary'!$J26</f>
        <v>27163.7968</v>
      </c>
      <c r="F52" s="8">
        <f>'Monthly Sales Worksheet'!F56*'Prior year summary'!$J26</f>
        <v>27163.7968</v>
      </c>
      <c r="G52" s="8">
        <f>'Monthly Sales Worksheet'!G56*'Prior year summary'!$J26</f>
        <v>27163.7968</v>
      </c>
      <c r="H52" s="8">
        <f>'Monthly Sales Worksheet'!H56*'Prior year summary'!$J26</f>
        <v>27163.7968</v>
      </c>
      <c r="I52" s="8">
        <f>'Monthly Sales Worksheet'!I56*'Prior year summary'!$J26</f>
        <v>27163.7968</v>
      </c>
      <c r="J52" s="8">
        <f>'Monthly Sales Worksheet'!J56*'Prior year summary'!$J26</f>
        <v>27163.7968</v>
      </c>
      <c r="K52" s="8">
        <f>'Monthly Sales Worksheet'!K56*'Prior year summary'!$J26</f>
        <v>27163.7968</v>
      </c>
      <c r="L52" s="8">
        <f>'Monthly Sales Worksheet'!L56*'Prior year summary'!$J26</f>
        <v>27163.7968</v>
      </c>
      <c r="M52" s="8">
        <f>'Monthly Sales Worksheet'!M56*'Prior year summary'!$J26</f>
        <v>27163.7968</v>
      </c>
      <c r="N52" s="8">
        <f>'Monthly Sales Worksheet'!N56*'Prior year summary'!$J26</f>
        <v>27294.235199999963</v>
      </c>
      <c r="O52" s="8">
        <f>SUM(C52:N52)</f>
        <v>326096</v>
      </c>
    </row>
    <row r="53" spans="1:15" x14ac:dyDescent="0.25">
      <c r="B53" t="s">
        <v>165</v>
      </c>
      <c r="C53" s="8">
        <f>SUM($C52:C52)</f>
        <v>27163.7968</v>
      </c>
      <c r="D53" s="8">
        <f>SUM($C52:D52)</f>
        <v>54327.5936</v>
      </c>
      <c r="E53" s="8">
        <f>SUM($C52:E52)</f>
        <v>81491.390400000004</v>
      </c>
      <c r="F53" s="8">
        <f>SUM($C52:F52)</f>
        <v>108655.1872</v>
      </c>
      <c r="G53" s="8">
        <f>SUM($C52:G52)</f>
        <v>135818.984</v>
      </c>
      <c r="H53" s="8">
        <f>SUM($C52:H52)</f>
        <v>162982.78080000001</v>
      </c>
      <c r="I53" s="8">
        <f>SUM($C52:I52)</f>
        <v>190146.57760000002</v>
      </c>
      <c r="J53" s="8">
        <f>SUM($C52:J52)</f>
        <v>217310.37440000003</v>
      </c>
      <c r="K53" s="8">
        <f>SUM($C52:K52)</f>
        <v>244474.17120000004</v>
      </c>
      <c r="L53" s="8">
        <f>SUM($C52:L52)</f>
        <v>271637.96800000005</v>
      </c>
      <c r="M53" s="8">
        <f>SUM($C52:M52)</f>
        <v>298801.76480000006</v>
      </c>
      <c r="N53" s="8">
        <f>SUM($C52:N52)</f>
        <v>326096</v>
      </c>
    </row>
    <row r="54" spans="1:15" x14ac:dyDescent="0.25">
      <c r="B54" t="s">
        <v>166</v>
      </c>
      <c r="C54" s="44"/>
      <c r="D54" s="44"/>
      <c r="E54" s="44"/>
      <c r="F54" s="44"/>
      <c r="G54" s="44"/>
      <c r="H54" s="44"/>
      <c r="I54" s="44"/>
      <c r="J54" s="44"/>
      <c r="K54" s="44"/>
      <c r="L54" s="44"/>
      <c r="M54" s="44"/>
      <c r="N54" s="44"/>
    </row>
    <row r="55" spans="1:15" x14ac:dyDescent="0.25">
      <c r="A55" t="str">
        <f>'Monthly Sales Worksheet'!A57</f>
        <v>Tires batteries and acces</v>
      </c>
      <c r="B55" t="s">
        <v>164</v>
      </c>
      <c r="C55" s="8">
        <f>'Monthly Sales Worksheet'!C59*'Prior year summary'!$J27</f>
        <v>48139.8197</v>
      </c>
      <c r="D55" s="8">
        <f>'Monthly Sales Worksheet'!D59*'Prior year summary'!$J27</f>
        <v>48139.8197</v>
      </c>
      <c r="E55" s="8">
        <f>'Monthly Sales Worksheet'!E59*'Prior year summary'!$J27</f>
        <v>48139.8197</v>
      </c>
      <c r="F55" s="8">
        <f>'Monthly Sales Worksheet'!F59*'Prior year summary'!$J27</f>
        <v>48139.8197</v>
      </c>
      <c r="G55" s="8">
        <f>'Monthly Sales Worksheet'!G59*'Prior year summary'!$J27</f>
        <v>48139.8197</v>
      </c>
      <c r="H55" s="8">
        <f>'Monthly Sales Worksheet'!H59*'Prior year summary'!$J27</f>
        <v>48139.8197</v>
      </c>
      <c r="I55" s="8">
        <f>'Monthly Sales Worksheet'!I59*'Prior year summary'!$J27</f>
        <v>48139.8197</v>
      </c>
      <c r="J55" s="8">
        <f>'Monthly Sales Worksheet'!J59*'Prior year summary'!$J27</f>
        <v>48139.8197</v>
      </c>
      <c r="K55" s="8">
        <f>'Monthly Sales Worksheet'!K59*'Prior year summary'!$J27</f>
        <v>48139.8197</v>
      </c>
      <c r="L55" s="8">
        <f>'Monthly Sales Worksheet'!L59*'Prior year summary'!$J27</f>
        <v>48139.8197</v>
      </c>
      <c r="M55" s="8">
        <f>'Monthly Sales Worksheet'!M59*'Prior year summary'!$J27</f>
        <v>48139.8197</v>
      </c>
      <c r="N55" s="8">
        <f>'Monthly Sales Worksheet'!N59*'Prior year summary'!$J27</f>
        <v>48370.983299999934</v>
      </c>
      <c r="O55" s="8">
        <f>SUM(C55:N55)</f>
        <v>577909</v>
      </c>
    </row>
    <row r="56" spans="1:15" x14ac:dyDescent="0.25">
      <c r="B56" t="s">
        <v>165</v>
      </c>
      <c r="C56" s="8">
        <f>SUM($C55:C55)</f>
        <v>48139.8197</v>
      </c>
      <c r="D56" s="8">
        <f>SUM($C55:D55)</f>
        <v>96279.6394</v>
      </c>
      <c r="E56" s="8">
        <f>SUM($C55:E55)</f>
        <v>144419.45910000001</v>
      </c>
      <c r="F56" s="8">
        <f>SUM($C55:F55)</f>
        <v>192559.2788</v>
      </c>
      <c r="G56" s="8">
        <f>SUM($C55:G55)</f>
        <v>240699.09849999999</v>
      </c>
      <c r="H56" s="8">
        <f>SUM($C55:H55)</f>
        <v>288838.91820000001</v>
      </c>
      <c r="I56" s="8">
        <f>SUM($C55:I55)</f>
        <v>336978.73790000001</v>
      </c>
      <c r="J56" s="8">
        <f>SUM($C55:J55)</f>
        <v>385118.5576</v>
      </c>
      <c r="K56" s="8">
        <f>SUM($C55:K55)</f>
        <v>433258.37729999999</v>
      </c>
      <c r="L56" s="8">
        <f>SUM($C55:L55)</f>
        <v>481398.19699999999</v>
      </c>
      <c r="M56" s="8">
        <f>SUM($C55:M55)</f>
        <v>529538.01670000004</v>
      </c>
      <c r="N56" s="8">
        <f>SUM($C55:N55)</f>
        <v>577909</v>
      </c>
    </row>
    <row r="57" spans="1:15" x14ac:dyDescent="0.25">
      <c r="B57" t="s">
        <v>166</v>
      </c>
      <c r="C57" s="44"/>
      <c r="D57" s="44"/>
      <c r="E57" s="44"/>
      <c r="F57" s="44"/>
      <c r="G57" s="44"/>
      <c r="H57" s="44"/>
      <c r="I57" s="44"/>
      <c r="J57" s="44"/>
      <c r="K57" s="44"/>
      <c r="L57" s="44"/>
      <c r="M57" s="44"/>
      <c r="N57" s="44"/>
    </row>
    <row r="58" spans="1:15" x14ac:dyDescent="0.25">
      <c r="A58" t="str">
        <f>'Monthly Sales Worksheet'!A60</f>
        <v>Merchandise</v>
      </c>
      <c r="B58" t="s">
        <v>164</v>
      </c>
      <c r="C58" s="8">
        <f>'Monthly Sales Worksheet'!C62*'Prior year summary'!$J28</f>
        <v>66420.671099999992</v>
      </c>
      <c r="D58" s="8">
        <f>'Monthly Sales Worksheet'!D62*'Prior year summary'!$J28</f>
        <v>66420.671099999992</v>
      </c>
      <c r="E58" s="8">
        <f>'Monthly Sales Worksheet'!E62*'Prior year summary'!$J28</f>
        <v>66420.671099999992</v>
      </c>
      <c r="F58" s="8">
        <f>'Monthly Sales Worksheet'!F62*'Prior year summary'!$J28</f>
        <v>66420.671099999992</v>
      </c>
      <c r="G58" s="8">
        <f>'Monthly Sales Worksheet'!G62*'Prior year summary'!$J28</f>
        <v>66420.671099999992</v>
      </c>
      <c r="H58" s="8">
        <f>'Monthly Sales Worksheet'!H62*'Prior year summary'!$J28</f>
        <v>66420.671099999992</v>
      </c>
      <c r="I58" s="8">
        <f>'Monthly Sales Worksheet'!I62*'Prior year summary'!$J28</f>
        <v>66420.671099999992</v>
      </c>
      <c r="J58" s="8">
        <f>'Monthly Sales Worksheet'!J62*'Prior year summary'!$J28</f>
        <v>66420.671099999992</v>
      </c>
      <c r="K58" s="8">
        <f>'Monthly Sales Worksheet'!K62*'Prior year summary'!$J28</f>
        <v>66420.671099999992</v>
      </c>
      <c r="L58" s="8">
        <f>'Monthly Sales Worksheet'!L62*'Prior year summary'!$J28</f>
        <v>66420.671099999992</v>
      </c>
      <c r="M58" s="8">
        <f>'Monthly Sales Worksheet'!M62*'Prior year summary'!$J28</f>
        <v>66420.671099999992</v>
      </c>
      <c r="N58" s="8">
        <f>'Monthly Sales Worksheet'!N62*'Prior year summary'!$J28</f>
        <v>66739.61789999991</v>
      </c>
      <c r="O58" s="8">
        <f>SUM(C58:N58)</f>
        <v>797367</v>
      </c>
    </row>
    <row r="59" spans="1:15" x14ac:dyDescent="0.25">
      <c r="B59" t="s">
        <v>165</v>
      </c>
      <c r="C59" s="8">
        <f>SUM($C58:C58)</f>
        <v>66420.671099999992</v>
      </c>
      <c r="D59" s="8">
        <f>SUM($C58:D58)</f>
        <v>132841.34219999998</v>
      </c>
      <c r="E59" s="8">
        <f>SUM($C58:E58)</f>
        <v>199262.01329999999</v>
      </c>
      <c r="F59" s="8">
        <f>SUM($C58:F58)</f>
        <v>265682.68439999997</v>
      </c>
      <c r="G59" s="8">
        <f>SUM($C58:G58)</f>
        <v>332103.35549999995</v>
      </c>
      <c r="H59" s="8">
        <f>SUM($C58:H58)</f>
        <v>398524.02659999992</v>
      </c>
      <c r="I59" s="8">
        <f>SUM($C58:I58)</f>
        <v>464944.6976999999</v>
      </c>
      <c r="J59" s="8">
        <f>SUM($C58:J58)</f>
        <v>531365.36879999994</v>
      </c>
      <c r="K59" s="8">
        <f>SUM($C58:K58)</f>
        <v>597786.03989999997</v>
      </c>
      <c r="L59" s="8">
        <f>SUM($C58:L58)</f>
        <v>664206.71100000001</v>
      </c>
      <c r="M59" s="8">
        <f>SUM($C58:M58)</f>
        <v>730627.38210000005</v>
      </c>
      <c r="N59" s="8">
        <f>SUM($C58:N58)</f>
        <v>797367</v>
      </c>
    </row>
    <row r="60" spans="1:15" x14ac:dyDescent="0.25">
      <c r="B60" t="s">
        <v>166</v>
      </c>
      <c r="C60" s="44"/>
      <c r="D60" s="44"/>
      <c r="E60" s="44"/>
      <c r="F60" s="44"/>
      <c r="G60" s="44"/>
      <c r="H60" s="44"/>
      <c r="I60" s="44"/>
      <c r="J60" s="44"/>
      <c r="K60" s="44"/>
      <c r="L60" s="44"/>
      <c r="M60" s="44"/>
      <c r="N60" s="44"/>
    </row>
    <row r="61" spans="1:15" x14ac:dyDescent="0.25">
      <c r="A61" t="str">
        <f>'Monthly Sales Worksheet'!A63</f>
        <v>FS 13</v>
      </c>
      <c r="B61" t="s">
        <v>164</v>
      </c>
      <c r="C61" s="8">
        <f>'Monthly Sales Worksheet'!C65*'Prior year summary'!$J29</f>
        <v>0</v>
      </c>
      <c r="D61" s="8">
        <f>'Monthly Sales Worksheet'!D65*'Prior year summary'!$J29</f>
        <v>0</v>
      </c>
      <c r="E61" s="8">
        <f>'Monthly Sales Worksheet'!E65*'Prior year summary'!$J29</f>
        <v>0</v>
      </c>
      <c r="F61" s="8">
        <f>'Monthly Sales Worksheet'!F65*'Prior year summary'!$J29</f>
        <v>0</v>
      </c>
      <c r="G61" s="8">
        <f>'Monthly Sales Worksheet'!G65*'Prior year summary'!$J29</f>
        <v>0</v>
      </c>
      <c r="H61" s="8">
        <f>'Monthly Sales Worksheet'!H65*'Prior year summary'!$J29</f>
        <v>0</v>
      </c>
      <c r="I61" s="8">
        <f>'Monthly Sales Worksheet'!I65*'Prior year summary'!$J29</f>
        <v>0</v>
      </c>
      <c r="J61" s="8">
        <f>'Monthly Sales Worksheet'!J65*'Prior year summary'!$J29</f>
        <v>0</v>
      </c>
      <c r="K61" s="8">
        <f>'Monthly Sales Worksheet'!K65*'Prior year summary'!$J29</f>
        <v>0</v>
      </c>
      <c r="L61" s="8">
        <f>'Monthly Sales Worksheet'!L65*'Prior year summary'!$J29</f>
        <v>0</v>
      </c>
      <c r="M61" s="8">
        <f>'Monthly Sales Worksheet'!M65*'Prior year summary'!$J29</f>
        <v>0</v>
      </c>
      <c r="N61" s="8">
        <f>'Monthly Sales Worksheet'!N65*'Prior year summary'!$J29</f>
        <v>0</v>
      </c>
      <c r="O61" s="8">
        <f>SUM(C61:N61)</f>
        <v>0</v>
      </c>
    </row>
    <row r="62" spans="1:15" x14ac:dyDescent="0.25">
      <c r="B62" t="s">
        <v>165</v>
      </c>
      <c r="C62" s="8">
        <f>SUM($C61:C61)</f>
        <v>0</v>
      </c>
      <c r="D62" s="8">
        <f>SUM($C61:D61)</f>
        <v>0</v>
      </c>
      <c r="E62" s="8">
        <f>SUM($C61:E61)</f>
        <v>0</v>
      </c>
      <c r="F62" s="8">
        <f>SUM($C61:F61)</f>
        <v>0</v>
      </c>
      <c r="G62" s="8">
        <f>SUM($C61:G61)</f>
        <v>0</v>
      </c>
      <c r="H62" s="8">
        <f>SUM($C61:H61)</f>
        <v>0</v>
      </c>
      <c r="I62" s="8">
        <f>SUM($C61:I61)</f>
        <v>0</v>
      </c>
      <c r="J62" s="8">
        <f>SUM($C61:J61)</f>
        <v>0</v>
      </c>
      <c r="K62" s="8">
        <f>SUM($C61:K61)</f>
        <v>0</v>
      </c>
      <c r="L62" s="8">
        <f>SUM($C61:L61)</f>
        <v>0</v>
      </c>
      <c r="M62" s="8">
        <f>SUM($C61:M61)</f>
        <v>0</v>
      </c>
      <c r="N62" s="8">
        <f>SUM($C61:N61)</f>
        <v>0</v>
      </c>
    </row>
    <row r="63" spans="1:15" x14ac:dyDescent="0.25">
      <c r="B63" t="s">
        <v>166</v>
      </c>
      <c r="C63" s="44"/>
      <c r="D63" s="44"/>
      <c r="E63" s="44"/>
      <c r="F63" s="44"/>
      <c r="G63" s="44"/>
      <c r="H63" s="44"/>
      <c r="I63" s="44"/>
      <c r="J63" s="44"/>
      <c r="K63" s="44"/>
      <c r="L63" s="44"/>
      <c r="M63" s="44"/>
      <c r="N63" s="44"/>
    </row>
    <row r="64" spans="1:15" x14ac:dyDescent="0.25">
      <c r="A64" t="str">
        <f>'Monthly Sales Worksheet'!A66</f>
        <v>FS 14</v>
      </c>
      <c r="B64" t="s">
        <v>164</v>
      </c>
      <c r="C64" s="8">
        <f>'Monthly Sales Worksheet'!C68*'Monthly Sales Worksheet'!$O66</f>
        <v>0</v>
      </c>
      <c r="D64" s="8">
        <f>'Monthly Sales Worksheet'!D68*'Monthly Sales Worksheet'!$O66</f>
        <v>0</v>
      </c>
      <c r="E64" s="8">
        <f>'Monthly Sales Worksheet'!E68*'Monthly Sales Worksheet'!$O66</f>
        <v>0</v>
      </c>
      <c r="F64" s="8">
        <f>'Monthly Sales Worksheet'!F68*'Monthly Sales Worksheet'!$O66</f>
        <v>0</v>
      </c>
      <c r="G64" s="8">
        <f>'Monthly Sales Worksheet'!G68*'Monthly Sales Worksheet'!$O66</f>
        <v>0</v>
      </c>
      <c r="H64" s="8">
        <f>'Monthly Sales Worksheet'!H68*'Monthly Sales Worksheet'!$O66</f>
        <v>0</v>
      </c>
      <c r="I64" s="8">
        <f>'Monthly Sales Worksheet'!I68*'Monthly Sales Worksheet'!$O66</f>
        <v>0</v>
      </c>
      <c r="J64" s="8">
        <f>'Monthly Sales Worksheet'!J68*'Monthly Sales Worksheet'!$O66</f>
        <v>0</v>
      </c>
      <c r="K64" s="8">
        <f>'Monthly Sales Worksheet'!K68*'Monthly Sales Worksheet'!$O66</f>
        <v>0</v>
      </c>
      <c r="L64" s="8">
        <f>'Monthly Sales Worksheet'!L68*'Monthly Sales Worksheet'!$O66</f>
        <v>0</v>
      </c>
      <c r="M64" s="8">
        <f>'Monthly Sales Worksheet'!M68*'Monthly Sales Worksheet'!$O66</f>
        <v>0</v>
      </c>
      <c r="N64" s="8">
        <f>'Monthly Sales Worksheet'!N68*'Monthly Sales Worksheet'!$O66</f>
        <v>0</v>
      </c>
      <c r="O64" s="8">
        <f>SUM(C64:N64)</f>
        <v>0</v>
      </c>
    </row>
    <row r="65" spans="1:15" x14ac:dyDescent="0.25">
      <c r="B65" t="s">
        <v>165</v>
      </c>
      <c r="C65" s="8">
        <f>SUM($C64:C64)</f>
        <v>0</v>
      </c>
      <c r="D65" s="8">
        <f>SUM($C64:D64)</f>
        <v>0</v>
      </c>
      <c r="E65" s="8">
        <f>SUM($C64:E64)</f>
        <v>0</v>
      </c>
      <c r="F65" s="8">
        <f>SUM($C64:F64)</f>
        <v>0</v>
      </c>
      <c r="G65" s="8">
        <f>SUM($C64:G64)</f>
        <v>0</v>
      </c>
      <c r="H65" s="8">
        <f>SUM($C64:H64)</f>
        <v>0</v>
      </c>
      <c r="I65" s="8">
        <f>SUM($C64:I64)</f>
        <v>0</v>
      </c>
      <c r="J65" s="8">
        <f>SUM($C64:J64)</f>
        <v>0</v>
      </c>
      <c r="K65" s="8">
        <f>SUM($C64:K64)</f>
        <v>0</v>
      </c>
      <c r="L65" s="8">
        <f>SUM($C64:L64)</f>
        <v>0</v>
      </c>
      <c r="M65" s="8">
        <f>SUM($C64:M64)</f>
        <v>0</v>
      </c>
      <c r="N65" s="8">
        <f>SUM($C64:N64)</f>
        <v>0</v>
      </c>
    </row>
    <row r="66" spans="1:15" x14ac:dyDescent="0.25">
      <c r="B66" t="s">
        <v>166</v>
      </c>
      <c r="C66" s="44"/>
      <c r="D66" s="44"/>
      <c r="E66" s="44"/>
      <c r="F66" s="44"/>
      <c r="G66" s="44"/>
      <c r="H66" s="44"/>
      <c r="I66" s="44"/>
      <c r="J66" s="44"/>
      <c r="K66" s="44"/>
      <c r="L66" s="44"/>
      <c r="M66" s="44"/>
      <c r="N66" s="44"/>
    </row>
    <row r="67" spans="1:15" x14ac:dyDescent="0.25">
      <c r="O67" s="8"/>
    </row>
    <row r="68" spans="1:15" x14ac:dyDescent="0.25">
      <c r="A68" t="str">
        <f>'Monthly Sales Worksheet'!A70</f>
        <v>Sub Total Farm Supply</v>
      </c>
      <c r="B68" t="s">
        <v>164</v>
      </c>
      <c r="C68" s="8">
        <f>SUM(C25,C28, C31,C34,C37,C40,C43,C46,C49,C52,C55,C58,C61,C64)</f>
        <v>1604606.0674000001</v>
      </c>
      <c r="D68" s="8">
        <f t="shared" ref="D68:O70" si="2">SUM(D25,D28, D31,D34,D37,D40,D43,D46,D49,D52,D55,D58,D61,D64)</f>
        <v>1604606.0674000001</v>
      </c>
      <c r="E68" s="8">
        <f t="shared" si="2"/>
        <v>1604606.0674000001</v>
      </c>
      <c r="F68" s="8">
        <f t="shared" si="2"/>
        <v>1604606.0674000001</v>
      </c>
      <c r="G68" s="8">
        <f t="shared" si="2"/>
        <v>1604606.0674000001</v>
      </c>
      <c r="H68" s="8">
        <f t="shared" si="2"/>
        <v>1604606.0674000001</v>
      </c>
      <c r="I68" s="8">
        <f t="shared" si="2"/>
        <v>1604606.0674000001</v>
      </c>
      <c r="J68" s="8">
        <f t="shared" si="2"/>
        <v>1604606.0674000001</v>
      </c>
      <c r="K68" s="8">
        <f t="shared" si="2"/>
        <v>1604606.0674000001</v>
      </c>
      <c r="L68" s="8">
        <f t="shared" si="2"/>
        <v>1604606.0674000001</v>
      </c>
      <c r="M68" s="8">
        <f t="shared" si="2"/>
        <v>1604606.0674000001</v>
      </c>
      <c r="N68" s="8">
        <f t="shared" si="2"/>
        <v>1612311.258599998</v>
      </c>
      <c r="O68" s="8">
        <f t="shared" si="2"/>
        <v>19262978</v>
      </c>
    </row>
    <row r="69" spans="1:15" x14ac:dyDescent="0.25">
      <c r="B69" t="s">
        <v>165</v>
      </c>
      <c r="C69" s="8">
        <f>SUM(C26,C29, C32,C35,C38,C41,C44,C47,C50,C53,C56,C59,C62,C65)</f>
        <v>1604606.0674000001</v>
      </c>
      <c r="D69" s="8">
        <f t="shared" si="2"/>
        <v>3209212.1348000001</v>
      </c>
      <c r="E69" s="8">
        <f t="shared" si="2"/>
        <v>4813818.2021999992</v>
      </c>
      <c r="F69" s="8">
        <f t="shared" si="2"/>
        <v>6418424.2696000002</v>
      </c>
      <c r="G69" s="8">
        <f t="shared" si="2"/>
        <v>8023030.3369999994</v>
      </c>
      <c r="H69" s="8">
        <f t="shared" si="2"/>
        <v>9627636.4044000003</v>
      </c>
      <c r="I69" s="8">
        <f t="shared" si="2"/>
        <v>11232242.471800001</v>
      </c>
      <c r="J69" s="8">
        <f t="shared" si="2"/>
        <v>12836848.5392</v>
      </c>
      <c r="K69" s="8">
        <f t="shared" si="2"/>
        <v>14441454.6066</v>
      </c>
      <c r="L69" s="8">
        <f t="shared" si="2"/>
        <v>16046060.674000001</v>
      </c>
      <c r="M69" s="8">
        <f t="shared" si="2"/>
        <v>17650666.741400003</v>
      </c>
      <c r="N69" s="8">
        <f t="shared" si="2"/>
        <v>19262978</v>
      </c>
      <c r="O69" s="8">
        <f t="shared" si="2"/>
        <v>0</v>
      </c>
    </row>
    <row r="70" spans="1:15" x14ac:dyDescent="0.25">
      <c r="B70" t="s">
        <v>166</v>
      </c>
      <c r="C70" s="8">
        <f t="shared" ref="C70:N70" si="3">SUM(C27,C30, C33,C36,C39,C42,C45,C48,C51,C54,C57,C60,C63,C66)</f>
        <v>0</v>
      </c>
      <c r="D70" s="8">
        <f t="shared" si="3"/>
        <v>0</v>
      </c>
      <c r="E70" s="8">
        <f t="shared" si="3"/>
        <v>0</v>
      </c>
      <c r="F70" s="8">
        <f t="shared" si="3"/>
        <v>0</v>
      </c>
      <c r="G70" s="8">
        <f t="shared" si="3"/>
        <v>0</v>
      </c>
      <c r="H70" s="8">
        <f t="shared" si="3"/>
        <v>0</v>
      </c>
      <c r="I70" s="8">
        <f t="shared" si="3"/>
        <v>0</v>
      </c>
      <c r="J70" s="8">
        <f t="shared" si="3"/>
        <v>0</v>
      </c>
      <c r="K70" s="8">
        <f t="shared" si="3"/>
        <v>0</v>
      </c>
      <c r="L70" s="8">
        <f t="shared" si="3"/>
        <v>0</v>
      </c>
      <c r="M70" s="8">
        <f t="shared" si="3"/>
        <v>0</v>
      </c>
      <c r="N70" s="8">
        <f t="shared" si="3"/>
        <v>0</v>
      </c>
      <c r="O70" s="8">
        <f t="shared" si="2"/>
        <v>0</v>
      </c>
    </row>
    <row r="72" spans="1:15" x14ac:dyDescent="0.25">
      <c r="A72" t="s">
        <v>190</v>
      </c>
      <c r="B72" t="s">
        <v>164</v>
      </c>
      <c r="C72" s="8">
        <f>C20+C68</f>
        <v>2253967.3842253969</v>
      </c>
      <c r="D72" s="8">
        <f t="shared" ref="D72:O72" si="4">D20+D68</f>
        <v>2001431.464225397</v>
      </c>
      <c r="E72" s="8">
        <f t="shared" si="4"/>
        <v>2001431.464225397</v>
      </c>
      <c r="F72" s="8">
        <f t="shared" si="4"/>
        <v>2001431.464225397</v>
      </c>
      <c r="G72" s="8">
        <f t="shared" si="4"/>
        <v>2001431.464225397</v>
      </c>
      <c r="H72" s="8">
        <f t="shared" si="4"/>
        <v>2253967.3842253969</v>
      </c>
      <c r="I72" s="8">
        <f t="shared" si="4"/>
        <v>2253967.3842253969</v>
      </c>
      <c r="J72" s="8">
        <f t="shared" si="4"/>
        <v>2253967.3842253969</v>
      </c>
      <c r="K72" s="8">
        <f t="shared" si="4"/>
        <v>2487077.464225397</v>
      </c>
      <c r="L72" s="8">
        <f t="shared" si="4"/>
        <v>2234541.5442253966</v>
      </c>
      <c r="M72" s="8">
        <f t="shared" si="4"/>
        <v>2215115.7042253967</v>
      </c>
      <c r="N72" s="8">
        <f t="shared" si="4"/>
        <v>2009136.6554253944</v>
      </c>
      <c r="O72" s="8">
        <f t="shared" si="4"/>
        <v>25967466.761904761</v>
      </c>
    </row>
    <row r="73" spans="1:15" x14ac:dyDescent="0.25">
      <c r="B73" t="s">
        <v>165</v>
      </c>
      <c r="C73" s="8">
        <f>C21+C69</f>
        <v>2253967.3842253969</v>
      </c>
      <c r="D73" s="8">
        <f t="shared" ref="D73:N73" si="5">D21+D69</f>
        <v>4255398.8484507939</v>
      </c>
      <c r="E73" s="8">
        <f t="shared" si="5"/>
        <v>6256830.3126761895</v>
      </c>
      <c r="F73" s="8">
        <f t="shared" si="5"/>
        <v>8258261.7769015878</v>
      </c>
      <c r="G73" s="8">
        <f t="shared" si="5"/>
        <v>10259693.241126984</v>
      </c>
      <c r="H73" s="8">
        <f t="shared" si="5"/>
        <v>12513660.625352383</v>
      </c>
      <c r="I73" s="8">
        <f t="shared" si="5"/>
        <v>14767628.009577779</v>
      </c>
      <c r="J73" s="8">
        <f t="shared" si="5"/>
        <v>17021595.393803176</v>
      </c>
      <c r="K73" s="8">
        <f t="shared" si="5"/>
        <v>19508672.858028572</v>
      </c>
      <c r="L73" s="8">
        <f t="shared" si="5"/>
        <v>21743214.402253971</v>
      </c>
      <c r="M73" s="8">
        <f t="shared" si="5"/>
        <v>23958330.106479369</v>
      </c>
      <c r="N73" s="8">
        <f t="shared" si="5"/>
        <v>25967466.761904761</v>
      </c>
      <c r="O73" s="8"/>
    </row>
    <row r="74" spans="1:15" x14ac:dyDescent="0.25">
      <c r="B74" t="s">
        <v>166</v>
      </c>
      <c r="C74" s="8">
        <f>C22+C70</f>
        <v>0</v>
      </c>
      <c r="D74" s="8">
        <f t="shared" ref="D74:N74" si="6">D22+D70</f>
        <v>0</v>
      </c>
      <c r="E74" s="8">
        <f t="shared" si="6"/>
        <v>0</v>
      </c>
      <c r="F74" s="8">
        <f t="shared" si="6"/>
        <v>0</v>
      </c>
      <c r="G74" s="8">
        <f t="shared" si="6"/>
        <v>0</v>
      </c>
      <c r="H74" s="8">
        <f t="shared" si="6"/>
        <v>0</v>
      </c>
      <c r="I74" s="8">
        <f t="shared" si="6"/>
        <v>0</v>
      </c>
      <c r="J74" s="8">
        <f t="shared" si="6"/>
        <v>0</v>
      </c>
      <c r="K74" s="8">
        <f t="shared" si="6"/>
        <v>0</v>
      </c>
      <c r="L74" s="8">
        <f t="shared" si="6"/>
        <v>0</v>
      </c>
      <c r="M74" s="8">
        <f t="shared" si="6"/>
        <v>0</v>
      </c>
      <c r="N74" s="8">
        <f t="shared" si="6"/>
        <v>0</v>
      </c>
      <c r="O74" s="8"/>
    </row>
    <row r="76" spans="1:15" x14ac:dyDescent="0.25">
      <c r="B76" t="s">
        <v>167</v>
      </c>
    </row>
    <row r="77" spans="1:15" x14ac:dyDescent="0.25">
      <c r="C77" t="str">
        <f>'Monthly Sales Worksheet'!C8</f>
        <v>JAN</v>
      </c>
      <c r="D77" t="str">
        <f>'Monthly Sales Worksheet'!D8</f>
        <v>FEB</v>
      </c>
      <c r="E77" t="str">
        <f>'Monthly Sales Worksheet'!E8</f>
        <v>MAR</v>
      </c>
      <c r="F77" t="str">
        <f>'Monthly Sales Worksheet'!F8</f>
        <v>APRIL</v>
      </c>
      <c r="G77" t="str">
        <f>'Monthly Sales Worksheet'!G8</f>
        <v>MAY</v>
      </c>
      <c r="H77" t="str">
        <f>'Monthly Sales Worksheet'!H8</f>
        <v>JUN</v>
      </c>
      <c r="I77" t="str">
        <f>'Monthly Sales Worksheet'!I8</f>
        <v>JUL</v>
      </c>
      <c r="J77" t="str">
        <f>'Monthly Sales Worksheet'!J8</f>
        <v>AUG</v>
      </c>
      <c r="K77" t="str">
        <f>'Monthly Sales Worksheet'!K8</f>
        <v>SEPT</v>
      </c>
      <c r="L77" t="str">
        <f>'Monthly Sales Worksheet'!L8</f>
        <v>OCT</v>
      </c>
      <c r="M77" t="str">
        <f>'Monthly Sales Worksheet'!M8</f>
        <v>NOV</v>
      </c>
      <c r="N77" t="str">
        <f>'Monthly Sales Worksheet'!N8</f>
        <v>DEC</v>
      </c>
      <c r="O77" t="str">
        <f>'Monthly Sales Worksheet'!O8</f>
        <v>TOTAL</v>
      </c>
    </row>
    <row r="78" spans="1:15" x14ac:dyDescent="0.25">
      <c r="A78" t="str">
        <f>A4</f>
        <v>Wheat</v>
      </c>
      <c r="B78" t="str">
        <f>B4</f>
        <v>Budget</v>
      </c>
      <c r="C78" s="8">
        <f>C4*'Prior year summary'!$M9</f>
        <v>85000</v>
      </c>
      <c r="D78" s="8">
        <f>D4*'Prior year summary'!$M9</f>
        <v>85000</v>
      </c>
      <c r="E78" s="8">
        <f>E4*'Prior year summary'!$M9</f>
        <v>85000</v>
      </c>
      <c r="F78" s="8">
        <f>F4*'Prior year summary'!$M9</f>
        <v>85000</v>
      </c>
      <c r="G78" s="8">
        <f>G4*'Prior year summary'!$M9</f>
        <v>85000</v>
      </c>
      <c r="H78" s="8">
        <f>H4*'Prior year summary'!$M9</f>
        <v>85000</v>
      </c>
      <c r="I78" s="8">
        <f>I4*'Prior year summary'!$M9</f>
        <v>85000</v>
      </c>
      <c r="J78" s="8">
        <f>J4*'Prior year summary'!$M9</f>
        <v>85000</v>
      </c>
      <c r="K78" s="8">
        <f>K4*'Prior year summary'!$M9</f>
        <v>85000</v>
      </c>
      <c r="L78" s="8">
        <f>L4*'Prior year summary'!$M9</f>
        <v>85000</v>
      </c>
      <c r="M78" s="8">
        <f>M4*'Prior year summary'!$M9</f>
        <v>85000</v>
      </c>
      <c r="N78" s="8">
        <f>N4*'Prior year summary'!$M9</f>
        <v>84999.999999999927</v>
      </c>
      <c r="O78" s="8">
        <f>O4*'Prior year summary'!$G9</f>
        <v>1020000</v>
      </c>
    </row>
    <row r="79" spans="1:15" x14ac:dyDescent="0.25">
      <c r="B79" t="str">
        <f t="shared" ref="B79:B92" si="7">B5</f>
        <v>YTD</v>
      </c>
      <c r="C79" s="8">
        <f>SUM($C78:C78)</f>
        <v>85000</v>
      </c>
      <c r="D79" s="8">
        <f>SUM($C78:D78)</f>
        <v>170000</v>
      </c>
      <c r="E79" s="8">
        <f>SUM($C78:E78)</f>
        <v>255000</v>
      </c>
      <c r="F79" s="8">
        <f>SUM($C78:F78)</f>
        <v>340000</v>
      </c>
      <c r="G79" s="8">
        <f>SUM($C78:G78)</f>
        <v>425000</v>
      </c>
      <c r="H79" s="8">
        <f>SUM($C78:H78)</f>
        <v>510000</v>
      </c>
      <c r="I79" s="8">
        <f>SUM($C78:I78)</f>
        <v>595000</v>
      </c>
      <c r="J79" s="8">
        <f>SUM($C78:J78)</f>
        <v>680000</v>
      </c>
      <c r="K79" s="8">
        <f>SUM($C78:K78)</f>
        <v>765000</v>
      </c>
      <c r="L79" s="8">
        <f>SUM($C78:L78)</f>
        <v>850000</v>
      </c>
      <c r="M79" s="8">
        <f>SUM($C78:M78)</f>
        <v>935000</v>
      </c>
      <c r="N79" s="8">
        <f>SUM($C78:N78)</f>
        <v>1019999.9999999999</v>
      </c>
    </row>
    <row r="80" spans="1:15" x14ac:dyDescent="0.25">
      <c r="B80" t="str">
        <f t="shared" si="7"/>
        <v>YTD Actual</v>
      </c>
      <c r="C80" s="44"/>
      <c r="D80" s="44"/>
      <c r="E80" s="44"/>
      <c r="F80" s="44"/>
      <c r="G80" s="44"/>
      <c r="H80" s="44"/>
      <c r="I80" s="44"/>
      <c r="J80" s="44"/>
      <c r="K80" s="44"/>
      <c r="L80" s="44"/>
      <c r="M80" s="44"/>
      <c r="N80" s="44"/>
    </row>
    <row r="81" spans="1:15" x14ac:dyDescent="0.25">
      <c r="A81" t="str">
        <f>A7</f>
        <v>Oats</v>
      </c>
      <c r="B81" t="str">
        <f t="shared" si="7"/>
        <v>Budget</v>
      </c>
      <c r="C81" s="8">
        <f>C7*'Prior year summary'!$M10</f>
        <v>91</v>
      </c>
      <c r="D81" s="8">
        <f>D7*'Prior year summary'!$M10</f>
        <v>0</v>
      </c>
      <c r="E81" s="8">
        <f>E7*'Prior year summary'!$M10</f>
        <v>0</v>
      </c>
      <c r="F81" s="8">
        <f>F7*'Prior year summary'!$M10</f>
        <v>0</v>
      </c>
      <c r="G81" s="8">
        <f>G7*'Prior year summary'!$M10</f>
        <v>0</v>
      </c>
      <c r="H81" s="8">
        <f>H7*'Prior year summary'!$M10</f>
        <v>91</v>
      </c>
      <c r="I81" s="8">
        <f>I7*'Prior year summary'!$M10</f>
        <v>91</v>
      </c>
      <c r="J81" s="8">
        <f>J7*'Prior year summary'!$M10</f>
        <v>91</v>
      </c>
      <c r="K81" s="8">
        <f>K7*'Prior year summary'!$M10</f>
        <v>175</v>
      </c>
      <c r="L81" s="8">
        <f>L7*'Prior year summary'!$M10</f>
        <v>83.999999999999986</v>
      </c>
      <c r="M81" s="8">
        <f>M7*'Prior year summary'!$M10</f>
        <v>77</v>
      </c>
      <c r="N81" s="8">
        <f>N7*'Prior year summary'!$M10</f>
        <v>0</v>
      </c>
      <c r="O81" s="8">
        <f>O7*'Prior year summary'!$G10</f>
        <v>700.00000000000011</v>
      </c>
    </row>
    <row r="82" spans="1:15" x14ac:dyDescent="0.25">
      <c r="B82" t="str">
        <f t="shared" si="7"/>
        <v>YTD</v>
      </c>
      <c r="C82" s="8">
        <f>SUM($C81:C81)</f>
        <v>91</v>
      </c>
      <c r="D82" s="8">
        <f>SUM($C81:D81)</f>
        <v>91</v>
      </c>
      <c r="E82" s="8">
        <f>SUM($C81:E81)</f>
        <v>91</v>
      </c>
      <c r="F82" s="8">
        <f>SUM($C81:F81)</f>
        <v>91</v>
      </c>
      <c r="G82" s="8">
        <f>SUM($C81:G81)</f>
        <v>91</v>
      </c>
      <c r="H82" s="8">
        <f>SUM($C81:H81)</f>
        <v>182</v>
      </c>
      <c r="I82" s="8">
        <f>SUM($C81:I81)</f>
        <v>273</v>
      </c>
      <c r="J82" s="8">
        <f>SUM($C81:J81)</f>
        <v>364</v>
      </c>
      <c r="K82" s="8">
        <f>SUM($C81:K81)</f>
        <v>539</v>
      </c>
      <c r="L82" s="8">
        <f>SUM($C81:L81)</f>
        <v>623</v>
      </c>
      <c r="M82" s="8">
        <f>SUM($C81:M81)</f>
        <v>700</v>
      </c>
      <c r="N82" s="8">
        <f>SUM($C81:N81)</f>
        <v>700</v>
      </c>
    </row>
    <row r="83" spans="1:15" x14ac:dyDescent="0.25">
      <c r="B83" t="str">
        <f t="shared" si="7"/>
        <v>YTD Actual</v>
      </c>
      <c r="C83" s="44"/>
      <c r="D83" s="44"/>
      <c r="E83" s="44"/>
      <c r="F83" s="44"/>
      <c r="G83" s="44"/>
      <c r="H83" s="44"/>
      <c r="I83" s="44"/>
      <c r="J83" s="44"/>
      <c r="K83" s="44"/>
      <c r="L83" s="44"/>
      <c r="M83" s="44"/>
      <c r="N83" s="44"/>
    </row>
    <row r="84" spans="1:15" x14ac:dyDescent="0.25">
      <c r="A84" t="str">
        <f>A10</f>
        <v>Milo</v>
      </c>
      <c r="B84" t="str">
        <f t="shared" si="7"/>
        <v>Budget</v>
      </c>
      <c r="C84" s="8">
        <f>C10*'Prior year summary'!$M11</f>
        <v>234</v>
      </c>
      <c r="D84" s="8">
        <f>D10*'Prior year summary'!$M11</f>
        <v>0</v>
      </c>
      <c r="E84" s="8">
        <f>E10*'Prior year summary'!$M11</f>
        <v>0</v>
      </c>
      <c r="F84" s="8">
        <f>F10*'Prior year summary'!$M11</f>
        <v>0</v>
      </c>
      <c r="G84" s="8">
        <f>G10*'Prior year summary'!$M11</f>
        <v>0</v>
      </c>
      <c r="H84" s="8">
        <f>H10*'Prior year summary'!$M11</f>
        <v>234</v>
      </c>
      <c r="I84" s="8">
        <f>I10*'Prior year summary'!$M11</f>
        <v>234</v>
      </c>
      <c r="J84" s="8">
        <f>J10*'Prior year summary'!$M11</f>
        <v>234</v>
      </c>
      <c r="K84" s="8">
        <f>K10*'Prior year summary'!$M11</f>
        <v>450</v>
      </c>
      <c r="L84" s="8">
        <f>L10*'Prior year summary'!$M11</f>
        <v>215.99999999999997</v>
      </c>
      <c r="M84" s="8">
        <f>M10*'Prior year summary'!$M11</f>
        <v>198</v>
      </c>
      <c r="N84" s="8">
        <f>N10*'Prior year summary'!$M11</f>
        <v>0</v>
      </c>
      <c r="O84" s="8">
        <f>O10*'Prior year summary'!$G11</f>
        <v>1800</v>
      </c>
    </row>
    <row r="85" spans="1:15" x14ac:dyDescent="0.25">
      <c r="B85" t="str">
        <f t="shared" si="7"/>
        <v>YTD</v>
      </c>
      <c r="C85" s="8">
        <f>SUM($C84:C84)</f>
        <v>234</v>
      </c>
      <c r="D85" s="8">
        <f>SUM($C84:D84)</f>
        <v>234</v>
      </c>
      <c r="E85" s="8">
        <f>SUM($C84:E84)</f>
        <v>234</v>
      </c>
      <c r="F85" s="8">
        <f>SUM($C84:F84)</f>
        <v>234</v>
      </c>
      <c r="G85" s="8">
        <f>SUM($C84:G84)</f>
        <v>234</v>
      </c>
      <c r="H85" s="8">
        <f>SUM($C84:H84)</f>
        <v>468</v>
      </c>
      <c r="I85" s="8">
        <f>SUM($C84:I84)</f>
        <v>702</v>
      </c>
      <c r="J85" s="8">
        <f>SUM($C84:J84)</f>
        <v>936</v>
      </c>
      <c r="K85" s="8">
        <f>SUM($C84:K84)</f>
        <v>1386</v>
      </c>
      <c r="L85" s="8">
        <f>SUM($C84:L84)</f>
        <v>1602</v>
      </c>
      <c r="M85" s="8">
        <f>SUM($C84:M84)</f>
        <v>1800</v>
      </c>
      <c r="N85" s="8">
        <f>SUM($C84:N84)</f>
        <v>1800</v>
      </c>
    </row>
    <row r="86" spans="1:15" x14ac:dyDescent="0.25">
      <c r="B86" t="str">
        <f t="shared" si="7"/>
        <v>YTD Actual</v>
      </c>
      <c r="C86" s="44"/>
      <c r="D86" s="44"/>
      <c r="E86" s="44"/>
      <c r="F86" s="44"/>
      <c r="G86" s="44"/>
      <c r="H86" s="44"/>
      <c r="I86" s="44"/>
      <c r="J86" s="44"/>
      <c r="K86" s="44"/>
      <c r="L86" s="44"/>
      <c r="M86" s="44"/>
      <c r="N86" s="44"/>
    </row>
    <row r="87" spans="1:15" x14ac:dyDescent="0.25">
      <c r="A87" t="str">
        <f>A13</f>
        <v>Corn</v>
      </c>
      <c r="B87" t="str">
        <f t="shared" si="7"/>
        <v>Budget</v>
      </c>
      <c r="C87" s="8">
        <f>C13*'Prior year summary'!$M12</f>
        <v>52000</v>
      </c>
      <c r="D87" s="8">
        <f>D13*'Prior year summary'!$M12</f>
        <v>0</v>
      </c>
      <c r="E87" s="8">
        <f>E13*'Prior year summary'!$M12</f>
        <v>0</v>
      </c>
      <c r="F87" s="8">
        <f>F13*'Prior year summary'!$M12</f>
        <v>0</v>
      </c>
      <c r="G87" s="8">
        <f>G13*'Prior year summary'!$M12</f>
        <v>0</v>
      </c>
      <c r="H87" s="8">
        <f>H13*'Prior year summary'!$M12</f>
        <v>52000</v>
      </c>
      <c r="I87" s="8">
        <f>I13*'Prior year summary'!$M12</f>
        <v>52000</v>
      </c>
      <c r="J87" s="8">
        <f>J13*'Prior year summary'!$M12</f>
        <v>52000</v>
      </c>
      <c r="K87" s="8">
        <f>K13*'Prior year summary'!$M12</f>
        <v>100000</v>
      </c>
      <c r="L87" s="8">
        <f>L13*'Prior year summary'!$M12</f>
        <v>48000</v>
      </c>
      <c r="M87" s="8">
        <f>M13*'Prior year summary'!$M12</f>
        <v>44000</v>
      </c>
      <c r="N87" s="8">
        <f>N13*'Prior year summary'!$M12</f>
        <v>0</v>
      </c>
      <c r="O87" s="8">
        <f>O13*'Prior year summary'!$G12</f>
        <v>400000</v>
      </c>
    </row>
    <row r="88" spans="1:15" x14ac:dyDescent="0.25">
      <c r="B88" t="str">
        <f t="shared" si="7"/>
        <v>YTD</v>
      </c>
      <c r="C88" s="8">
        <f>SUM($C87:C87)</f>
        <v>52000</v>
      </c>
      <c r="D88" s="8">
        <f>SUM($C87:D87)</f>
        <v>52000</v>
      </c>
      <c r="E88" s="8">
        <f>SUM($C87:E87)</f>
        <v>52000</v>
      </c>
      <c r="F88" s="8">
        <f>SUM($C87:F87)</f>
        <v>52000</v>
      </c>
      <c r="G88" s="8">
        <f>SUM($C87:G87)</f>
        <v>52000</v>
      </c>
      <c r="H88" s="8">
        <f>SUM($C87:H87)</f>
        <v>104000</v>
      </c>
      <c r="I88" s="8">
        <f>SUM($C87:I87)</f>
        <v>156000</v>
      </c>
      <c r="J88" s="8">
        <f>SUM($C87:J87)</f>
        <v>208000</v>
      </c>
      <c r="K88" s="8">
        <f>SUM($C87:K87)</f>
        <v>308000</v>
      </c>
      <c r="L88" s="8">
        <f>SUM($C87:L87)</f>
        <v>356000</v>
      </c>
      <c r="M88" s="8">
        <f>SUM($C87:M87)</f>
        <v>400000</v>
      </c>
      <c r="N88" s="8">
        <f>SUM($C87:N87)</f>
        <v>400000</v>
      </c>
      <c r="O88" s="8"/>
    </row>
    <row r="89" spans="1:15" x14ac:dyDescent="0.25">
      <c r="B89" t="str">
        <f t="shared" si="7"/>
        <v>YTD Actual</v>
      </c>
      <c r="C89" s="44"/>
      <c r="D89" s="44"/>
      <c r="E89" s="44"/>
      <c r="F89" s="44"/>
      <c r="G89" s="44"/>
      <c r="H89" s="44"/>
      <c r="I89" s="44"/>
      <c r="J89" s="44"/>
      <c r="K89" s="44"/>
      <c r="L89" s="44"/>
      <c r="M89" s="44"/>
      <c r="N89" s="44"/>
    </row>
    <row r="90" spans="1:15" x14ac:dyDescent="0.25">
      <c r="A90" t="str">
        <f>A16</f>
        <v>Soybeans</v>
      </c>
      <c r="B90" t="str">
        <f t="shared" si="7"/>
        <v>Budget</v>
      </c>
      <c r="C90" s="8">
        <f>C16*'Prior year summary'!$M13</f>
        <v>0</v>
      </c>
      <c r="D90" s="8">
        <f>D16*'Prior year summary'!$M13</f>
        <v>0</v>
      </c>
      <c r="E90" s="8">
        <f>E16*'Prior year summary'!$M13</f>
        <v>0</v>
      </c>
      <c r="F90" s="8">
        <f>F16*'Prior year summary'!$M13</f>
        <v>0</v>
      </c>
      <c r="G90" s="8">
        <f>G16*'Prior year summary'!$M13</f>
        <v>0</v>
      </c>
      <c r="H90" s="8">
        <f>H16*'Prior year summary'!$M13</f>
        <v>0</v>
      </c>
      <c r="I90" s="8">
        <f>I16*'Prior year summary'!$M13</f>
        <v>0</v>
      </c>
      <c r="J90" s="8">
        <f>J16*'Prior year summary'!$M13</f>
        <v>0</v>
      </c>
      <c r="K90" s="8">
        <f>K16*'Prior year summary'!$M13</f>
        <v>0</v>
      </c>
      <c r="L90" s="8">
        <f>L16*'Prior year summary'!$M13</f>
        <v>0</v>
      </c>
      <c r="M90" s="8">
        <f>M16*'Prior year summary'!$M13</f>
        <v>0</v>
      </c>
      <c r="N90" s="8">
        <f>N16*'Prior year summary'!$M13</f>
        <v>0</v>
      </c>
      <c r="O90" s="8">
        <f>O14*'Prior year summary'!$G15</f>
        <v>0</v>
      </c>
    </row>
    <row r="91" spans="1:15" x14ac:dyDescent="0.25">
      <c r="B91" t="str">
        <f t="shared" si="7"/>
        <v>YTD</v>
      </c>
      <c r="C91" s="8">
        <f>SUM($C90:C90)</f>
        <v>0</v>
      </c>
      <c r="D91" s="8">
        <f>SUM($C90:D90)</f>
        <v>0</v>
      </c>
      <c r="E91" s="8">
        <f>SUM($C90:E90)</f>
        <v>0</v>
      </c>
      <c r="F91" s="8">
        <f>SUM($C90:F90)</f>
        <v>0</v>
      </c>
      <c r="G91" s="8">
        <f>SUM($C90:G90)</f>
        <v>0</v>
      </c>
      <c r="H91" s="8">
        <f>SUM($C90:H90)</f>
        <v>0</v>
      </c>
      <c r="I91" s="8">
        <f>SUM($C90:I90)</f>
        <v>0</v>
      </c>
      <c r="J91" s="8">
        <f>SUM($C90:J90)</f>
        <v>0</v>
      </c>
      <c r="K91" s="8">
        <f>SUM($C90:K90)</f>
        <v>0</v>
      </c>
      <c r="L91" s="8">
        <f>SUM($C90:L90)</f>
        <v>0</v>
      </c>
      <c r="M91" s="8">
        <f>SUM($C90:M90)</f>
        <v>0</v>
      </c>
      <c r="N91" s="8">
        <f>SUM($C90:N90)</f>
        <v>0</v>
      </c>
      <c r="O91" s="8"/>
    </row>
    <row r="92" spans="1:15" x14ac:dyDescent="0.25">
      <c r="B92" t="str">
        <f t="shared" si="7"/>
        <v>YTD Actual</v>
      </c>
      <c r="C92" s="44"/>
      <c r="D92" s="44"/>
      <c r="E92" s="44"/>
      <c r="F92" s="44"/>
      <c r="G92" s="44"/>
      <c r="H92" s="44"/>
      <c r="I92" s="44"/>
      <c r="J92" s="44"/>
      <c r="K92" s="44"/>
      <c r="L92" s="44"/>
      <c r="M92" s="44"/>
      <c r="N92" s="44"/>
    </row>
    <row r="93" spans="1:15" x14ac:dyDescent="0.25">
      <c r="A93" t="s">
        <v>181</v>
      </c>
      <c r="B93" t="s">
        <v>164</v>
      </c>
      <c r="C93" s="8">
        <f>SUM(C78,C81,C84,C87,C90)</f>
        <v>137325</v>
      </c>
      <c r="D93" s="8">
        <f t="shared" ref="D93:O93" si="8">SUM(D78,D81,D84,D87,D90)</f>
        <v>85000</v>
      </c>
      <c r="E93" s="8">
        <f t="shared" si="8"/>
        <v>85000</v>
      </c>
      <c r="F93" s="8">
        <f t="shared" si="8"/>
        <v>85000</v>
      </c>
      <c r="G93" s="8">
        <f t="shared" si="8"/>
        <v>85000</v>
      </c>
      <c r="H93" s="8">
        <f t="shared" si="8"/>
        <v>137325</v>
      </c>
      <c r="I93" s="8">
        <f t="shared" si="8"/>
        <v>137325</v>
      </c>
      <c r="J93" s="8">
        <f t="shared" si="8"/>
        <v>137325</v>
      </c>
      <c r="K93" s="8">
        <f t="shared" si="8"/>
        <v>185625</v>
      </c>
      <c r="L93" s="8">
        <f t="shared" si="8"/>
        <v>133300</v>
      </c>
      <c r="M93" s="8">
        <f t="shared" si="8"/>
        <v>129275</v>
      </c>
      <c r="N93" s="8">
        <f t="shared" si="8"/>
        <v>84999.999999999927</v>
      </c>
      <c r="O93" s="8">
        <f t="shared" si="8"/>
        <v>1422500</v>
      </c>
    </row>
    <row r="94" spans="1:15" x14ac:dyDescent="0.25">
      <c r="B94" t="s">
        <v>165</v>
      </c>
      <c r="C94" s="8">
        <f>SUM(C79,C82,C85,C88,C91)</f>
        <v>137325</v>
      </c>
      <c r="D94" s="8">
        <f t="shared" ref="D94:O95" si="9">SUM(D79,D82,D85,D88,D91)</f>
        <v>222325</v>
      </c>
      <c r="E94" s="8">
        <f t="shared" si="9"/>
        <v>307325</v>
      </c>
      <c r="F94" s="8">
        <f t="shared" si="9"/>
        <v>392325</v>
      </c>
      <c r="G94" s="8">
        <f t="shared" si="9"/>
        <v>477325</v>
      </c>
      <c r="H94" s="8">
        <f t="shared" si="9"/>
        <v>614650</v>
      </c>
      <c r="I94" s="8">
        <f t="shared" si="9"/>
        <v>751975</v>
      </c>
      <c r="J94" s="8">
        <f t="shared" si="9"/>
        <v>889300</v>
      </c>
      <c r="K94" s="8">
        <f t="shared" si="9"/>
        <v>1074925</v>
      </c>
      <c r="L94" s="8">
        <f t="shared" si="9"/>
        <v>1208225</v>
      </c>
      <c r="M94" s="8">
        <f t="shared" si="9"/>
        <v>1337500</v>
      </c>
      <c r="N94" s="8">
        <f t="shared" si="9"/>
        <v>1422500</v>
      </c>
      <c r="O94" s="8">
        <f t="shared" si="9"/>
        <v>0</v>
      </c>
    </row>
    <row r="95" spans="1:15" x14ac:dyDescent="0.25">
      <c r="B95" t="s">
        <v>166</v>
      </c>
      <c r="C95" s="8">
        <f>SUM(C80,C83,C86,C89,C92)</f>
        <v>0</v>
      </c>
      <c r="D95" s="8">
        <f t="shared" si="9"/>
        <v>0</v>
      </c>
      <c r="E95" s="8">
        <f t="shared" si="9"/>
        <v>0</v>
      </c>
      <c r="F95" s="8">
        <f t="shared" si="9"/>
        <v>0</v>
      </c>
      <c r="G95" s="8">
        <f t="shared" si="9"/>
        <v>0</v>
      </c>
      <c r="H95" s="8">
        <f t="shared" si="9"/>
        <v>0</v>
      </c>
      <c r="I95" s="8">
        <f t="shared" si="9"/>
        <v>0</v>
      </c>
      <c r="J95" s="8">
        <f t="shared" si="9"/>
        <v>0</v>
      </c>
      <c r="K95" s="8">
        <f t="shared" si="9"/>
        <v>0</v>
      </c>
      <c r="L95" s="8">
        <f t="shared" si="9"/>
        <v>0</v>
      </c>
      <c r="M95" s="8">
        <f t="shared" si="9"/>
        <v>0</v>
      </c>
      <c r="N95" s="8">
        <f t="shared" si="9"/>
        <v>0</v>
      </c>
      <c r="O95" s="8">
        <f t="shared" si="9"/>
        <v>0</v>
      </c>
    </row>
    <row r="97" spans="1:15" x14ac:dyDescent="0.25">
      <c r="A97" t="str">
        <f>A25</f>
        <v>Feed</v>
      </c>
      <c r="B97" t="str">
        <f>B25</f>
        <v>Budget</v>
      </c>
      <c r="C97" s="8">
        <f>C25*'Prior year summary'!$M17</f>
        <v>3236.5382</v>
      </c>
      <c r="D97" s="8">
        <f>D25*'Prior year summary'!$M17</f>
        <v>3236.5382</v>
      </c>
      <c r="E97" s="8">
        <f>E25*'Prior year summary'!$M17</f>
        <v>3236.5382</v>
      </c>
      <c r="F97" s="8">
        <f>F25*'Prior year summary'!$M17</f>
        <v>3236.5382</v>
      </c>
      <c r="G97" s="8">
        <f>G25*'Prior year summary'!$M17</f>
        <v>3236.5382</v>
      </c>
      <c r="H97" s="8">
        <f>H25*'Prior year summary'!$M17</f>
        <v>3236.5382</v>
      </c>
      <c r="I97" s="8">
        <f>I25*'Prior year summary'!$M17</f>
        <v>3236.5382</v>
      </c>
      <c r="J97" s="8">
        <f>J25*'Prior year summary'!$M17</f>
        <v>3236.5382</v>
      </c>
      <c r="K97" s="8">
        <f>K25*'Prior year summary'!$M17</f>
        <v>3236.5382</v>
      </c>
      <c r="L97" s="8">
        <f>L25*'Prior year summary'!$M17</f>
        <v>3236.5382</v>
      </c>
      <c r="M97" s="8">
        <f>M25*'Prior year summary'!$M17</f>
        <v>3236.5382</v>
      </c>
      <c r="N97" s="8">
        <f>N25*'Prior year summary'!$M17</f>
        <v>3252.0797999999954</v>
      </c>
      <c r="O97" s="8">
        <f>O25*'Prior year summary'!$G17</f>
        <v>38853.999999999993</v>
      </c>
    </row>
    <row r="98" spans="1:15" x14ac:dyDescent="0.25">
      <c r="B98" t="str">
        <f t="shared" ref="B98:B142" si="10">B26</f>
        <v>YTD</v>
      </c>
      <c r="C98" s="8">
        <f>SUM($C97:C97)</f>
        <v>3236.5382</v>
      </c>
      <c r="D98" s="8">
        <f>SUM($C97:D97)</f>
        <v>6473.0763999999999</v>
      </c>
      <c r="E98" s="8">
        <f>SUM($C97:E97)</f>
        <v>9709.6146000000008</v>
      </c>
      <c r="F98" s="8">
        <f>SUM($C97:F97)</f>
        <v>12946.1528</v>
      </c>
      <c r="G98" s="8">
        <f>SUM($C97:G97)</f>
        <v>16182.690999999999</v>
      </c>
      <c r="H98" s="8">
        <f>SUM($C97:H97)</f>
        <v>19419.229199999998</v>
      </c>
      <c r="I98" s="8">
        <f>SUM($C97:I97)</f>
        <v>22655.767399999997</v>
      </c>
      <c r="J98" s="8">
        <f>SUM($C97:J97)</f>
        <v>25892.305599999996</v>
      </c>
      <c r="K98" s="8">
        <f>SUM($C97:K97)</f>
        <v>29128.843799999995</v>
      </c>
      <c r="L98" s="8">
        <f>SUM($C97:L97)</f>
        <v>32365.381999999994</v>
      </c>
      <c r="M98" s="8">
        <f>SUM($C97:M97)</f>
        <v>35601.920199999993</v>
      </c>
      <c r="N98" s="8">
        <f>SUM($C97:N97)</f>
        <v>38853.999999999985</v>
      </c>
      <c r="O98" s="8"/>
    </row>
    <row r="99" spans="1:15" x14ac:dyDescent="0.25">
      <c r="B99" t="str">
        <f t="shared" si="10"/>
        <v>YTD Actual</v>
      </c>
      <c r="C99" s="44"/>
      <c r="D99" s="44"/>
      <c r="E99" s="44"/>
      <c r="F99" s="44"/>
      <c r="G99" s="44"/>
      <c r="H99" s="44"/>
      <c r="I99" s="44"/>
      <c r="J99" s="44"/>
      <c r="K99" s="44"/>
      <c r="L99" s="44"/>
      <c r="M99" s="44"/>
      <c r="N99" s="44"/>
    </row>
    <row r="100" spans="1:15" x14ac:dyDescent="0.25">
      <c r="A100" t="str">
        <f>A28</f>
        <v>Fertilizer</v>
      </c>
      <c r="B100" t="str">
        <f t="shared" si="10"/>
        <v>Budget</v>
      </c>
      <c r="C100" s="8">
        <f>C28*'Prior year summary'!$M18</f>
        <v>7330.4</v>
      </c>
      <c r="D100" s="8">
        <f>D28*'Prior year summary'!$M18</f>
        <v>7330.4</v>
      </c>
      <c r="E100" s="8">
        <f>E28*'Prior year summary'!$M18</f>
        <v>7330.4</v>
      </c>
      <c r="F100" s="8">
        <f>F28*'Prior year summary'!$M18</f>
        <v>7330.4</v>
      </c>
      <c r="G100" s="8">
        <f>G28*'Prior year summary'!$M18</f>
        <v>7330.4</v>
      </c>
      <c r="H100" s="8">
        <f>H28*'Prior year summary'!$M18</f>
        <v>7330.4</v>
      </c>
      <c r="I100" s="8">
        <f>I28*'Prior year summary'!$M18</f>
        <v>7330.4</v>
      </c>
      <c r="J100" s="8">
        <f>J28*'Prior year summary'!$M18</f>
        <v>7330.4</v>
      </c>
      <c r="K100" s="8">
        <f>K28*'Prior year summary'!$M18</f>
        <v>7330.4</v>
      </c>
      <c r="L100" s="8">
        <f>L28*'Prior year summary'!$M18</f>
        <v>7330.4</v>
      </c>
      <c r="M100" s="8">
        <f>M28*'Prior year summary'!$M18</f>
        <v>7330.4</v>
      </c>
      <c r="N100" s="8">
        <f>N28*'Prior year summary'!$M18</f>
        <v>7365.5999999999894</v>
      </c>
      <c r="O100" s="8">
        <f>O28*'Prior year summary'!$G18</f>
        <v>87999.999999999985</v>
      </c>
    </row>
    <row r="101" spans="1:15" x14ac:dyDescent="0.25">
      <c r="B101" t="str">
        <f t="shared" si="10"/>
        <v>YTD</v>
      </c>
      <c r="C101" s="8">
        <f>SUM($C100:C100)</f>
        <v>7330.4</v>
      </c>
      <c r="D101" s="8">
        <f>SUM($C100:D100)</f>
        <v>14660.8</v>
      </c>
      <c r="E101" s="8">
        <f>SUM($C100:E100)</f>
        <v>21991.199999999997</v>
      </c>
      <c r="F101" s="8">
        <f>SUM($C100:F100)</f>
        <v>29321.599999999999</v>
      </c>
      <c r="G101" s="8">
        <f>SUM($C100:G100)</f>
        <v>36652</v>
      </c>
      <c r="H101" s="8">
        <f>SUM($C100:H100)</f>
        <v>43982.400000000001</v>
      </c>
      <c r="I101" s="8">
        <f>SUM($C100:I100)</f>
        <v>51312.800000000003</v>
      </c>
      <c r="J101" s="8">
        <f>SUM($C100:J100)</f>
        <v>58643.200000000004</v>
      </c>
      <c r="K101" s="8">
        <f>SUM($C100:K100)</f>
        <v>65973.600000000006</v>
      </c>
      <c r="L101" s="8">
        <f>SUM($C100:L100)</f>
        <v>73304</v>
      </c>
      <c r="M101" s="8">
        <f>SUM($C100:M100)</f>
        <v>80634.399999999994</v>
      </c>
      <c r="N101" s="8">
        <f>SUM($C100:N100)</f>
        <v>87999.999999999985</v>
      </c>
      <c r="O101" s="8"/>
    </row>
    <row r="102" spans="1:15" x14ac:dyDescent="0.25">
      <c r="B102" t="str">
        <f t="shared" si="10"/>
        <v>YTD Actual</v>
      </c>
      <c r="C102" s="44"/>
      <c r="D102" s="44"/>
      <c r="E102" s="44"/>
      <c r="F102" s="44"/>
      <c r="G102" s="44"/>
      <c r="H102" s="44"/>
      <c r="I102" s="44"/>
      <c r="J102" s="44"/>
      <c r="K102" s="44"/>
      <c r="L102" s="44"/>
      <c r="M102" s="44"/>
      <c r="N102" s="44"/>
    </row>
    <row r="103" spans="1:15" x14ac:dyDescent="0.25">
      <c r="A103" t="str">
        <f>A31</f>
        <v>Lime</v>
      </c>
      <c r="B103" t="str">
        <f t="shared" si="10"/>
        <v>Budget</v>
      </c>
      <c r="C103" s="8">
        <f>C31*'Prior year summary'!$M19</f>
        <v>1749.2999999999997</v>
      </c>
      <c r="D103" s="8">
        <f>D31*'Prior year summary'!$M19</f>
        <v>1749.2999999999997</v>
      </c>
      <c r="E103" s="8">
        <f>E31*'Prior year summary'!$M19</f>
        <v>1749.2999999999997</v>
      </c>
      <c r="F103" s="8">
        <f>F31*'Prior year summary'!$M19</f>
        <v>1749.2999999999997</v>
      </c>
      <c r="G103" s="8">
        <f>G31*'Prior year summary'!$M19</f>
        <v>1749.2999999999997</v>
      </c>
      <c r="H103" s="8">
        <f>H31*'Prior year summary'!$M19</f>
        <v>1749.2999999999997</v>
      </c>
      <c r="I103" s="8">
        <f>I31*'Prior year summary'!$M19</f>
        <v>1749.2999999999997</v>
      </c>
      <c r="J103" s="8">
        <f>J31*'Prior year summary'!$M19</f>
        <v>1749.2999999999997</v>
      </c>
      <c r="K103" s="8">
        <f>K31*'Prior year summary'!$M19</f>
        <v>1749.2999999999997</v>
      </c>
      <c r="L103" s="8">
        <f>L31*'Prior year summary'!$M19</f>
        <v>1749.2999999999997</v>
      </c>
      <c r="M103" s="8">
        <f>M31*'Prior year summary'!$M19</f>
        <v>1749.2999999999997</v>
      </c>
      <c r="N103" s="8">
        <f>N31*'Prior year summary'!$M19</f>
        <v>1757.6999999999978</v>
      </c>
      <c r="O103" s="8">
        <f>O31*'Prior year summary'!$G19</f>
        <v>20999.999999999993</v>
      </c>
    </row>
    <row r="104" spans="1:15" x14ac:dyDescent="0.25">
      <c r="B104" t="str">
        <f t="shared" si="10"/>
        <v>YTD</v>
      </c>
      <c r="C104" s="8">
        <f>SUM($C103:C103)</f>
        <v>1749.2999999999997</v>
      </c>
      <c r="D104" s="8">
        <f>SUM($C103:D103)</f>
        <v>3498.5999999999995</v>
      </c>
      <c r="E104" s="8">
        <f>SUM($C103:E103)</f>
        <v>5247.9</v>
      </c>
      <c r="F104" s="8">
        <f>SUM($C103:F103)</f>
        <v>6997.1999999999989</v>
      </c>
      <c r="G104" s="8">
        <f>SUM($C103:G103)</f>
        <v>8746.4999999999982</v>
      </c>
      <c r="H104" s="8">
        <f>SUM($C103:H103)</f>
        <v>10495.799999999997</v>
      </c>
      <c r="I104" s="8">
        <f>SUM($C103:I103)</f>
        <v>12245.099999999997</v>
      </c>
      <c r="J104" s="8">
        <f>SUM($C103:J103)</f>
        <v>13994.399999999996</v>
      </c>
      <c r="K104" s="8">
        <f>SUM($C103:K103)</f>
        <v>15743.699999999995</v>
      </c>
      <c r="L104" s="8">
        <f>SUM($C103:L103)</f>
        <v>17492.999999999996</v>
      </c>
      <c r="M104" s="8">
        <f>SUM($C103:M103)</f>
        <v>19242.299999999996</v>
      </c>
      <c r="N104" s="8">
        <f>SUM($C103:N103)</f>
        <v>20999.999999999993</v>
      </c>
      <c r="O104" s="8"/>
    </row>
    <row r="105" spans="1:15" x14ac:dyDescent="0.25">
      <c r="B105" t="str">
        <f t="shared" si="10"/>
        <v>YTD Actual</v>
      </c>
      <c r="C105" s="44"/>
      <c r="D105" s="44"/>
      <c r="E105" s="44"/>
      <c r="F105" s="44"/>
      <c r="G105" s="44"/>
      <c r="H105" s="44"/>
      <c r="I105" s="44"/>
      <c r="J105" s="44"/>
      <c r="K105" s="44"/>
      <c r="L105" s="44"/>
      <c r="M105" s="44"/>
      <c r="N105" s="44"/>
    </row>
    <row r="106" spans="1:15" x14ac:dyDescent="0.25">
      <c r="A106" t="str">
        <f>A34</f>
        <v>Propane</v>
      </c>
      <c r="B106" t="str">
        <f t="shared" si="10"/>
        <v>Budget</v>
      </c>
      <c r="C106" s="8">
        <f>C34*'Prior year summary'!$M20</f>
        <v>499.8</v>
      </c>
      <c r="D106" s="8">
        <f>D34*'Prior year summary'!$M20</f>
        <v>499.8</v>
      </c>
      <c r="E106" s="8">
        <f>E34*'Prior year summary'!$M20</f>
        <v>499.8</v>
      </c>
      <c r="F106" s="8">
        <f>F34*'Prior year summary'!$M20</f>
        <v>499.8</v>
      </c>
      <c r="G106" s="8">
        <f>G34*'Prior year summary'!$M20</f>
        <v>499.8</v>
      </c>
      <c r="H106" s="8">
        <f>H34*'Prior year summary'!$M20</f>
        <v>499.8</v>
      </c>
      <c r="I106" s="8">
        <f>I34*'Prior year summary'!$M20</f>
        <v>499.8</v>
      </c>
      <c r="J106" s="8">
        <f>J34*'Prior year summary'!$M20</f>
        <v>499.8</v>
      </c>
      <c r="K106" s="8">
        <f>K34*'Prior year summary'!$M20</f>
        <v>499.8</v>
      </c>
      <c r="L106" s="8">
        <f>L34*'Prior year summary'!$M20</f>
        <v>499.8</v>
      </c>
      <c r="M106" s="8">
        <f>M34*'Prior year summary'!$M20</f>
        <v>499.8</v>
      </c>
      <c r="N106" s="8">
        <f>N34*'Prior year summary'!$M20</f>
        <v>502.19999999999931</v>
      </c>
      <c r="O106" s="8">
        <f>O34*'Prior year summary'!$G20</f>
        <v>6000</v>
      </c>
    </row>
    <row r="107" spans="1:15" x14ac:dyDescent="0.25">
      <c r="B107" t="str">
        <f t="shared" si="10"/>
        <v>YTD</v>
      </c>
      <c r="C107" s="8">
        <f>SUM($C106:C106)</f>
        <v>499.8</v>
      </c>
      <c r="D107" s="8">
        <f>SUM($C106:D106)</f>
        <v>999.6</v>
      </c>
      <c r="E107" s="8">
        <f>SUM($C106:E106)</f>
        <v>1499.4</v>
      </c>
      <c r="F107" s="8">
        <f>SUM($C106:F106)</f>
        <v>1999.2</v>
      </c>
      <c r="G107" s="8">
        <f>SUM($C106:G106)</f>
        <v>2499</v>
      </c>
      <c r="H107" s="8">
        <f>SUM($C106:H106)</f>
        <v>2998.8</v>
      </c>
      <c r="I107" s="8">
        <f>SUM($C106:I106)</f>
        <v>3498.6000000000004</v>
      </c>
      <c r="J107" s="8">
        <f>SUM($C106:J106)</f>
        <v>3998.4000000000005</v>
      </c>
      <c r="K107" s="8">
        <f>SUM($C106:K106)</f>
        <v>4498.2000000000007</v>
      </c>
      <c r="L107" s="8">
        <f>SUM($C106:L106)</f>
        <v>4998.0000000000009</v>
      </c>
      <c r="M107" s="8">
        <f>SUM($C106:M106)</f>
        <v>5497.8000000000011</v>
      </c>
      <c r="N107" s="8">
        <f>SUM($C106:N106)</f>
        <v>6000</v>
      </c>
      <c r="O107" s="8"/>
    </row>
    <row r="108" spans="1:15" x14ac:dyDescent="0.25">
      <c r="B108" t="str">
        <f t="shared" si="10"/>
        <v>YTD Actual</v>
      </c>
      <c r="C108" s="44"/>
      <c r="D108" s="44"/>
      <c r="E108" s="44"/>
      <c r="F108" s="44"/>
      <c r="G108" s="44"/>
      <c r="H108" s="44"/>
      <c r="I108" s="44"/>
      <c r="J108" s="44"/>
      <c r="K108" s="44"/>
      <c r="L108" s="44"/>
      <c r="M108" s="44"/>
      <c r="N108" s="44"/>
    </row>
    <row r="109" spans="1:15" x14ac:dyDescent="0.25">
      <c r="A109" t="str">
        <f>A37</f>
        <v>Gasoline</v>
      </c>
      <c r="B109" t="str">
        <f t="shared" si="10"/>
        <v>Budget</v>
      </c>
      <c r="C109" s="8">
        <f>C37*'Prior year summary'!$M21</f>
        <v>4998</v>
      </c>
      <c r="D109" s="8">
        <f>D37*'Prior year summary'!$M21</f>
        <v>4998</v>
      </c>
      <c r="E109" s="8">
        <f>E37*'Prior year summary'!$M21</f>
        <v>4998</v>
      </c>
      <c r="F109" s="8">
        <f>F37*'Prior year summary'!$M21</f>
        <v>4998</v>
      </c>
      <c r="G109" s="8">
        <f>G37*'Prior year summary'!$M21</f>
        <v>4998</v>
      </c>
      <c r="H109" s="8">
        <f>H37*'Prior year summary'!$M21</f>
        <v>4998</v>
      </c>
      <c r="I109" s="8">
        <f>I37*'Prior year summary'!$M21</f>
        <v>4998</v>
      </c>
      <c r="J109" s="8">
        <f>J37*'Prior year summary'!$M21</f>
        <v>4998</v>
      </c>
      <c r="K109" s="8">
        <f>K37*'Prior year summary'!$M21</f>
        <v>4998</v>
      </c>
      <c r="L109" s="8">
        <f>L37*'Prior year summary'!$M21</f>
        <v>4998</v>
      </c>
      <c r="M109" s="8">
        <f>M37*'Prior year summary'!$M21</f>
        <v>4998</v>
      </c>
      <c r="N109" s="8">
        <f>N37*'Prior year summary'!$M21</f>
        <v>5021.9999999999927</v>
      </c>
      <c r="O109" s="8">
        <f>O37*'Prior year summary'!$G21</f>
        <v>59999.999999999993</v>
      </c>
    </row>
    <row r="110" spans="1:15" x14ac:dyDescent="0.25">
      <c r="B110" t="str">
        <f t="shared" si="10"/>
        <v>YTD</v>
      </c>
      <c r="C110" s="8">
        <f>SUM($C109:C109)</f>
        <v>4998</v>
      </c>
      <c r="D110" s="8">
        <f>SUM($C109:D109)</f>
        <v>9996</v>
      </c>
      <c r="E110" s="8">
        <f>SUM($C109:E109)</f>
        <v>14994</v>
      </c>
      <c r="F110" s="8">
        <f>SUM($C109:F109)</f>
        <v>19992</v>
      </c>
      <c r="G110" s="8">
        <f>SUM($C109:G109)</f>
        <v>24990</v>
      </c>
      <c r="H110" s="8">
        <f>SUM($C109:H109)</f>
        <v>29988</v>
      </c>
      <c r="I110" s="8">
        <f>SUM($C109:I109)</f>
        <v>34986</v>
      </c>
      <c r="J110" s="8">
        <f>SUM($C109:J109)</f>
        <v>39984</v>
      </c>
      <c r="K110" s="8">
        <f>SUM($C109:K109)</f>
        <v>44982</v>
      </c>
      <c r="L110" s="8">
        <f>SUM($C109:L109)</f>
        <v>49980</v>
      </c>
      <c r="M110" s="8">
        <f>SUM($C109:M109)</f>
        <v>54978</v>
      </c>
      <c r="N110" s="8">
        <f>SUM($C109:N109)</f>
        <v>59999.999999999993</v>
      </c>
      <c r="O110" s="8"/>
    </row>
    <row r="111" spans="1:15" x14ac:dyDescent="0.25">
      <c r="B111" t="str">
        <f t="shared" si="10"/>
        <v>YTD Actual</v>
      </c>
      <c r="C111" s="44"/>
      <c r="D111" s="44"/>
      <c r="E111" s="44"/>
      <c r="F111" s="44"/>
      <c r="G111" s="44"/>
      <c r="H111" s="44"/>
      <c r="I111" s="44"/>
      <c r="J111" s="44"/>
      <c r="K111" s="44"/>
      <c r="L111" s="44"/>
      <c r="M111" s="44"/>
      <c r="N111" s="44"/>
    </row>
    <row r="112" spans="1:15" x14ac:dyDescent="0.25">
      <c r="A112" t="str">
        <f>A40</f>
        <v>Diesel</v>
      </c>
      <c r="B112" t="str">
        <f t="shared" si="10"/>
        <v>Budget</v>
      </c>
      <c r="C112" s="8">
        <f>C40*'Prior year summary'!$M22</f>
        <v>25227.571599999996</v>
      </c>
      <c r="D112" s="8">
        <f>D40*'Prior year summary'!$M22</f>
        <v>25227.571599999996</v>
      </c>
      <c r="E112" s="8">
        <f>E40*'Prior year summary'!$M22</f>
        <v>25227.571599999996</v>
      </c>
      <c r="F112" s="8">
        <f>F40*'Prior year summary'!$M22</f>
        <v>25227.571599999996</v>
      </c>
      <c r="G112" s="8">
        <f>G40*'Prior year summary'!$M22</f>
        <v>25227.571599999996</v>
      </c>
      <c r="H112" s="8">
        <f>H40*'Prior year summary'!$M22</f>
        <v>25227.571599999996</v>
      </c>
      <c r="I112" s="8">
        <f>I40*'Prior year summary'!$M22</f>
        <v>25227.571599999996</v>
      </c>
      <c r="J112" s="8">
        <f>J40*'Prior year summary'!$M22</f>
        <v>25227.571599999996</v>
      </c>
      <c r="K112" s="8">
        <f>K40*'Prior year summary'!$M22</f>
        <v>25227.571599999996</v>
      </c>
      <c r="L112" s="8">
        <f>L40*'Prior year summary'!$M22</f>
        <v>25227.571599999996</v>
      </c>
      <c r="M112" s="8">
        <f>M40*'Prior year summary'!$M22</f>
        <v>25227.571599999996</v>
      </c>
      <c r="N112" s="8">
        <f>N40*'Prior year summary'!$M22</f>
        <v>25348.712399999964</v>
      </c>
      <c r="O112" s="8">
        <f>O40*'Prior year summary'!$G22</f>
        <v>302852</v>
      </c>
    </row>
    <row r="113" spans="1:15" x14ac:dyDescent="0.25">
      <c r="B113" t="str">
        <f t="shared" si="10"/>
        <v>YTD</v>
      </c>
      <c r="C113" s="8">
        <f>SUM($C112:C112)</f>
        <v>25227.571599999996</v>
      </c>
      <c r="D113" s="8">
        <f>SUM($C112:D112)</f>
        <v>50455.143199999991</v>
      </c>
      <c r="E113" s="8">
        <f>SUM($C112:E112)</f>
        <v>75682.714799999987</v>
      </c>
      <c r="F113" s="8">
        <f>SUM($C112:F112)</f>
        <v>100910.28639999998</v>
      </c>
      <c r="G113" s="8">
        <f>SUM($C112:G112)</f>
        <v>126137.85799999998</v>
      </c>
      <c r="H113" s="8">
        <f>SUM($C112:H112)</f>
        <v>151365.42959999997</v>
      </c>
      <c r="I113" s="8">
        <f>SUM($C112:I112)</f>
        <v>176593.00119999997</v>
      </c>
      <c r="J113" s="8">
        <f>SUM($C112:J112)</f>
        <v>201820.57279999997</v>
      </c>
      <c r="K113" s="8">
        <f>SUM($C112:K112)</f>
        <v>227048.14439999996</v>
      </c>
      <c r="L113" s="8">
        <f>SUM($C112:L112)</f>
        <v>252275.71599999996</v>
      </c>
      <c r="M113" s="8">
        <f>SUM($C112:M112)</f>
        <v>277503.28759999992</v>
      </c>
      <c r="N113" s="8">
        <f>SUM($C112:N112)</f>
        <v>302851.99999999988</v>
      </c>
      <c r="O113" s="8"/>
    </row>
    <row r="114" spans="1:15" x14ac:dyDescent="0.25">
      <c r="B114" t="str">
        <f t="shared" si="10"/>
        <v>YTD Actual</v>
      </c>
      <c r="C114" s="44"/>
      <c r="D114" s="44"/>
      <c r="E114" s="44"/>
      <c r="F114" s="44"/>
      <c r="G114" s="44"/>
      <c r="H114" s="44"/>
      <c r="I114" s="44"/>
      <c r="J114" s="44"/>
      <c r="K114" s="44"/>
      <c r="L114" s="44"/>
      <c r="M114" s="44"/>
      <c r="N114" s="44"/>
    </row>
    <row r="115" spans="1:15" x14ac:dyDescent="0.25">
      <c r="A115" t="str">
        <f>A43</f>
        <v>FS 7</v>
      </c>
      <c r="B115" t="str">
        <f t="shared" si="10"/>
        <v>Budget</v>
      </c>
      <c r="C115" s="8">
        <f>C43*'Prior year summary'!$M23</f>
        <v>0</v>
      </c>
      <c r="D115" s="8">
        <f>D43*'Prior year summary'!$M23</f>
        <v>0</v>
      </c>
      <c r="E115" s="8">
        <f>E43*'Prior year summary'!$M23</f>
        <v>0</v>
      </c>
      <c r="F115" s="8">
        <f>F43*'Prior year summary'!$M23</f>
        <v>0</v>
      </c>
      <c r="G115" s="8">
        <f>G43*'Prior year summary'!$M23</f>
        <v>0</v>
      </c>
      <c r="H115" s="8">
        <f>H43*'Prior year summary'!$M23</f>
        <v>0</v>
      </c>
      <c r="I115" s="8">
        <f>I43*'Prior year summary'!$M23</f>
        <v>0</v>
      </c>
      <c r="J115" s="8">
        <f>J43*'Prior year summary'!$M23</f>
        <v>0</v>
      </c>
      <c r="K115" s="8">
        <f>K43*'Prior year summary'!$M23</f>
        <v>0</v>
      </c>
      <c r="L115" s="8">
        <f>L43*'Prior year summary'!$M23</f>
        <v>0</v>
      </c>
      <c r="M115" s="8">
        <f>M43*'Prior year summary'!$M23</f>
        <v>0</v>
      </c>
      <c r="N115" s="8">
        <f>N43*'Prior year summary'!$M23</f>
        <v>0</v>
      </c>
      <c r="O115" s="8">
        <f>O43*'Prior year summary'!$G23</f>
        <v>0</v>
      </c>
    </row>
    <row r="116" spans="1:15" x14ac:dyDescent="0.25">
      <c r="B116" t="str">
        <f t="shared" si="10"/>
        <v>YTD</v>
      </c>
      <c r="C116" s="8">
        <f>SUM($C115:C115)</f>
        <v>0</v>
      </c>
      <c r="D116" s="8">
        <f>SUM($C115:D115)</f>
        <v>0</v>
      </c>
      <c r="E116" s="8">
        <f>SUM($C115:E115)</f>
        <v>0</v>
      </c>
      <c r="F116" s="8">
        <f>SUM($C115:F115)</f>
        <v>0</v>
      </c>
      <c r="G116" s="8">
        <f>SUM($C115:G115)</f>
        <v>0</v>
      </c>
      <c r="H116" s="8">
        <f>SUM($C115:H115)</f>
        <v>0</v>
      </c>
      <c r="I116" s="8">
        <f>SUM($C115:I115)</f>
        <v>0</v>
      </c>
      <c r="J116" s="8">
        <f>SUM($C115:J115)</f>
        <v>0</v>
      </c>
      <c r="K116" s="8">
        <f>SUM($C115:K115)</f>
        <v>0</v>
      </c>
      <c r="L116" s="8">
        <f>SUM($C115:L115)</f>
        <v>0</v>
      </c>
      <c r="M116" s="8">
        <f>SUM($C115:M115)</f>
        <v>0</v>
      </c>
      <c r="N116" s="8">
        <f>SUM($C115:N115)</f>
        <v>0</v>
      </c>
      <c r="O116" s="8"/>
    </row>
    <row r="117" spans="1:15" x14ac:dyDescent="0.25">
      <c r="B117" t="str">
        <f t="shared" si="10"/>
        <v>YTD Actual</v>
      </c>
      <c r="C117" s="44"/>
      <c r="D117" s="44"/>
      <c r="E117" s="44"/>
      <c r="F117" s="44"/>
      <c r="G117" s="44"/>
      <c r="H117" s="44"/>
      <c r="I117" s="44"/>
      <c r="J117" s="44"/>
      <c r="K117" s="44"/>
      <c r="L117" s="44"/>
      <c r="M117" s="44"/>
      <c r="N117" s="44"/>
    </row>
    <row r="118" spans="1:15" x14ac:dyDescent="0.25">
      <c r="A118" t="str">
        <f>A46</f>
        <v>Chemical</v>
      </c>
      <c r="B118" t="str">
        <f t="shared" si="10"/>
        <v>Budget</v>
      </c>
      <c r="C118" s="8">
        <f>C46*'Prior year summary'!$M24</f>
        <v>24990</v>
      </c>
      <c r="D118" s="8">
        <f>D46*'Prior year summary'!$M24</f>
        <v>24990</v>
      </c>
      <c r="E118" s="8">
        <f>E46*'Prior year summary'!$M24</f>
        <v>24990</v>
      </c>
      <c r="F118" s="8">
        <f>F46*'Prior year summary'!$M24</f>
        <v>24990</v>
      </c>
      <c r="G118" s="8">
        <f>G46*'Prior year summary'!$M24</f>
        <v>24990</v>
      </c>
      <c r="H118" s="8">
        <f>H46*'Prior year summary'!$M24</f>
        <v>24990</v>
      </c>
      <c r="I118" s="8">
        <f>I46*'Prior year summary'!$M24</f>
        <v>24990</v>
      </c>
      <c r="J118" s="8">
        <f>J46*'Prior year summary'!$M24</f>
        <v>24990</v>
      </c>
      <c r="K118" s="8">
        <f>K46*'Prior year summary'!$M24</f>
        <v>24990</v>
      </c>
      <c r="L118" s="8">
        <f>L46*'Prior year summary'!$M24</f>
        <v>24990</v>
      </c>
      <c r="M118" s="8">
        <f>M46*'Prior year summary'!$M24</f>
        <v>24990</v>
      </c>
      <c r="N118" s="8">
        <f>N46*'Prior year summary'!$M24</f>
        <v>25109.999999999964</v>
      </c>
      <c r="O118" s="8">
        <f>O46*'Prior year summary'!$G24</f>
        <v>300000</v>
      </c>
    </row>
    <row r="119" spans="1:15" x14ac:dyDescent="0.25">
      <c r="B119" t="str">
        <f t="shared" si="10"/>
        <v>YTD</v>
      </c>
      <c r="C119" s="8">
        <f>SUM($C118:C118)</f>
        <v>24990</v>
      </c>
      <c r="D119" s="8">
        <f>SUM($C118:D118)</f>
        <v>49980</v>
      </c>
      <c r="E119" s="8">
        <f>SUM($C118:E118)</f>
        <v>74970</v>
      </c>
      <c r="F119" s="8">
        <f>SUM($C118:F118)</f>
        <v>99960</v>
      </c>
      <c r="G119" s="8">
        <f>SUM($C118:G118)</f>
        <v>124950</v>
      </c>
      <c r="H119" s="8">
        <f>SUM($C118:H118)</f>
        <v>149940</v>
      </c>
      <c r="I119" s="8">
        <f>SUM($C118:I118)</f>
        <v>174930</v>
      </c>
      <c r="J119" s="8">
        <f>SUM($C118:J118)</f>
        <v>199920</v>
      </c>
      <c r="K119" s="8">
        <f>SUM($C118:K118)</f>
        <v>224910</v>
      </c>
      <c r="L119" s="8">
        <f>SUM($C118:L118)</f>
        <v>249900</v>
      </c>
      <c r="M119" s="8">
        <f>SUM($C118:M118)</f>
        <v>274890</v>
      </c>
      <c r="N119" s="8">
        <f>SUM($C118:N118)</f>
        <v>299999.99999999994</v>
      </c>
      <c r="O119" s="8"/>
    </row>
    <row r="120" spans="1:15" x14ac:dyDescent="0.25">
      <c r="B120" t="str">
        <f t="shared" si="10"/>
        <v>YTD Actual</v>
      </c>
      <c r="C120" s="44"/>
      <c r="D120" s="44"/>
      <c r="E120" s="44"/>
      <c r="F120" s="44"/>
      <c r="G120" s="44"/>
      <c r="H120" s="44"/>
      <c r="I120" s="44"/>
      <c r="J120" s="44"/>
      <c r="K120" s="44"/>
      <c r="L120" s="44"/>
      <c r="M120" s="44"/>
      <c r="N120" s="44"/>
    </row>
    <row r="121" spans="1:15" x14ac:dyDescent="0.25">
      <c r="A121" t="str">
        <f>A49</f>
        <v>Seed</v>
      </c>
      <c r="B121" t="str">
        <f t="shared" si="10"/>
        <v>Budget</v>
      </c>
      <c r="C121" s="8">
        <f>C49*'Prior year summary'!$M25</f>
        <v>4165</v>
      </c>
      <c r="D121" s="8">
        <f>D49*'Prior year summary'!$M25</f>
        <v>4165</v>
      </c>
      <c r="E121" s="8">
        <f>E49*'Prior year summary'!$M25</f>
        <v>4165</v>
      </c>
      <c r="F121" s="8">
        <f>F49*'Prior year summary'!$M25</f>
        <v>4165</v>
      </c>
      <c r="G121" s="8">
        <f>G49*'Prior year summary'!$M25</f>
        <v>4165</v>
      </c>
      <c r="H121" s="8">
        <f>H49*'Prior year summary'!$M25</f>
        <v>4165</v>
      </c>
      <c r="I121" s="8">
        <f>I49*'Prior year summary'!$M25</f>
        <v>4165</v>
      </c>
      <c r="J121" s="8">
        <f>J49*'Prior year summary'!$M25</f>
        <v>4165</v>
      </c>
      <c r="K121" s="8">
        <f>K49*'Prior year summary'!$M25</f>
        <v>4165</v>
      </c>
      <c r="L121" s="8">
        <f>L49*'Prior year summary'!$M25</f>
        <v>4165</v>
      </c>
      <c r="M121" s="8">
        <f>M49*'Prior year summary'!$M25</f>
        <v>4165</v>
      </c>
      <c r="N121" s="8">
        <f>N49*'Prior year summary'!$M25</f>
        <v>4184.9999999999936</v>
      </c>
      <c r="O121" s="8">
        <f>O49*'Prior year summary'!$G25</f>
        <v>49999.999999999985</v>
      </c>
    </row>
    <row r="122" spans="1:15" x14ac:dyDescent="0.25">
      <c r="B122" t="str">
        <f t="shared" si="10"/>
        <v>YTD</v>
      </c>
      <c r="C122" s="8">
        <f>SUM($C121:C121)</f>
        <v>4165</v>
      </c>
      <c r="D122" s="8">
        <f>SUM($C121:D121)</f>
        <v>8330</v>
      </c>
      <c r="E122" s="8">
        <f>SUM($C121:E121)</f>
        <v>12495</v>
      </c>
      <c r="F122" s="8">
        <f>SUM($C121:F121)</f>
        <v>16660</v>
      </c>
      <c r="G122" s="8">
        <f>SUM($C121:G121)</f>
        <v>20825</v>
      </c>
      <c r="H122" s="8">
        <f>SUM($C121:H121)</f>
        <v>24990</v>
      </c>
      <c r="I122" s="8">
        <f>SUM($C121:I121)</f>
        <v>29155</v>
      </c>
      <c r="J122" s="8">
        <f>SUM($C121:J121)</f>
        <v>33320</v>
      </c>
      <c r="K122" s="8">
        <f>SUM($C121:K121)</f>
        <v>37485</v>
      </c>
      <c r="L122" s="8">
        <f>SUM($C121:L121)</f>
        <v>41650</v>
      </c>
      <c r="M122" s="8">
        <f>SUM($C121:M121)</f>
        <v>45815</v>
      </c>
      <c r="N122" s="8">
        <f>SUM($C121:N121)</f>
        <v>49999.999999999993</v>
      </c>
      <c r="O122" s="8"/>
    </row>
    <row r="123" spans="1:15" x14ac:dyDescent="0.25">
      <c r="B123" t="str">
        <f t="shared" si="10"/>
        <v>YTD Actual</v>
      </c>
      <c r="C123" s="44"/>
      <c r="D123" s="44"/>
      <c r="E123" s="44"/>
      <c r="F123" s="44"/>
      <c r="G123" s="44"/>
      <c r="H123" s="44"/>
      <c r="I123" s="44"/>
      <c r="J123" s="44"/>
      <c r="K123" s="44"/>
      <c r="L123" s="44"/>
      <c r="M123" s="44"/>
      <c r="N123" s="44"/>
      <c r="O123" s="8">
        <f>O51*'Prior year summary'!$G25</f>
        <v>0</v>
      </c>
    </row>
    <row r="124" spans="1:15" x14ac:dyDescent="0.25">
      <c r="A124" t="str">
        <f>A52</f>
        <v>Oil and grease</v>
      </c>
      <c r="B124" t="str">
        <f t="shared" si="10"/>
        <v>Budget</v>
      </c>
      <c r="C124" s="8">
        <f>C52*'Prior year summary'!$M26</f>
        <v>749.7</v>
      </c>
      <c r="D124" s="8">
        <f>D52*'Prior year summary'!$G26</f>
        <v>749.7</v>
      </c>
      <c r="E124" s="8">
        <f>E52*'Prior year summary'!$G26</f>
        <v>749.7</v>
      </c>
      <c r="F124" s="8">
        <f>F52*'Prior year summary'!$G26</f>
        <v>749.7</v>
      </c>
      <c r="G124" s="8">
        <f>G52*'Prior year summary'!$G26</f>
        <v>749.7</v>
      </c>
      <c r="H124" s="8">
        <f>H52*'Prior year summary'!$G26</f>
        <v>749.7</v>
      </c>
      <c r="I124" s="8">
        <f>I52*'Prior year summary'!$G26</f>
        <v>749.7</v>
      </c>
      <c r="J124" s="8">
        <f>J52*'Prior year summary'!$G26</f>
        <v>749.7</v>
      </c>
      <c r="K124" s="8">
        <f>K52*'Prior year summary'!$G26</f>
        <v>749.7</v>
      </c>
      <c r="L124" s="8">
        <f>L52*'Prior year summary'!$G26</f>
        <v>749.7</v>
      </c>
      <c r="M124" s="8">
        <f>M52*'Prior year summary'!$G26</f>
        <v>749.7</v>
      </c>
      <c r="N124" s="8">
        <f>N52*'Prior year summary'!$G26</f>
        <v>753.29999999999905</v>
      </c>
      <c r="O124" s="8">
        <f>O52*'Prior year summary'!$G26</f>
        <v>9000</v>
      </c>
    </row>
    <row r="125" spans="1:15" x14ac:dyDescent="0.25">
      <c r="B125" t="str">
        <f t="shared" si="10"/>
        <v>YTD</v>
      </c>
      <c r="C125" s="8">
        <f>SUM($C124:C124)</f>
        <v>749.7</v>
      </c>
      <c r="D125" s="8">
        <f>SUM($C124:D124)</f>
        <v>1499.4</v>
      </c>
      <c r="E125" s="8">
        <f>SUM($C124:E124)</f>
        <v>2249.1000000000004</v>
      </c>
      <c r="F125" s="8">
        <f>SUM($C124:F124)</f>
        <v>2998.8</v>
      </c>
      <c r="G125" s="8">
        <f>SUM($C124:G124)</f>
        <v>3748.5</v>
      </c>
      <c r="H125" s="8">
        <f>SUM($C124:H124)</f>
        <v>4498.2</v>
      </c>
      <c r="I125" s="8">
        <f>SUM($C124:I124)</f>
        <v>5247.9</v>
      </c>
      <c r="J125" s="8">
        <f>SUM($C124:J124)</f>
        <v>5997.5999999999995</v>
      </c>
      <c r="K125" s="8">
        <f>SUM($C124:K124)</f>
        <v>6747.2999999999993</v>
      </c>
      <c r="L125" s="8">
        <f>SUM($C124:L124)</f>
        <v>7496.9999999999991</v>
      </c>
      <c r="M125" s="8">
        <f>SUM($C124:M124)</f>
        <v>8246.6999999999989</v>
      </c>
      <c r="N125" s="8">
        <f>SUM($C124:N124)</f>
        <v>8999.9999999999982</v>
      </c>
      <c r="O125" s="8"/>
    </row>
    <row r="126" spans="1:15" x14ac:dyDescent="0.25">
      <c r="B126" t="str">
        <f t="shared" si="10"/>
        <v>YTD Actual</v>
      </c>
      <c r="C126" s="44"/>
      <c r="D126" s="44"/>
      <c r="E126" s="44"/>
      <c r="F126" s="44"/>
      <c r="G126" s="44"/>
      <c r="H126" s="44"/>
      <c r="I126" s="44"/>
      <c r="J126" s="44"/>
      <c r="K126" s="44"/>
      <c r="L126" s="44"/>
      <c r="M126" s="44"/>
      <c r="N126" s="44"/>
      <c r="O126" s="8">
        <f>O54*'Prior year summary'!$G28</f>
        <v>0</v>
      </c>
    </row>
    <row r="127" spans="1:15" x14ac:dyDescent="0.25">
      <c r="A127" t="str">
        <f>A55</f>
        <v>Tires batteries and acces</v>
      </c>
      <c r="B127" t="str">
        <f t="shared" si="10"/>
        <v>Budget</v>
      </c>
      <c r="C127" s="8">
        <f>C55*'Prior year summary'!$M27</f>
        <v>4165</v>
      </c>
      <c r="D127" s="8">
        <f>D55*'Prior year summary'!$M27</f>
        <v>4165</v>
      </c>
      <c r="E127" s="8">
        <f>E55*'Prior year summary'!$M27</f>
        <v>4165</v>
      </c>
      <c r="F127" s="8">
        <f>F55*'Prior year summary'!$M27</f>
        <v>4165</v>
      </c>
      <c r="G127" s="8">
        <f>G55*'Prior year summary'!$M27</f>
        <v>4165</v>
      </c>
      <c r="H127" s="8">
        <f>H55*'Prior year summary'!$M27</f>
        <v>4165</v>
      </c>
      <c r="I127" s="8">
        <f>I55*'Prior year summary'!$M27</f>
        <v>4165</v>
      </c>
      <c r="J127" s="8">
        <f>J55*'Prior year summary'!$M27</f>
        <v>4165</v>
      </c>
      <c r="K127" s="8">
        <f>K55*'Prior year summary'!$M27</f>
        <v>4165</v>
      </c>
      <c r="L127" s="8">
        <f>L55*'Prior year summary'!$M27</f>
        <v>4165</v>
      </c>
      <c r="M127" s="8">
        <f>M55*'Prior year summary'!$M27</f>
        <v>4165</v>
      </c>
      <c r="N127" s="8">
        <f>N55*'Prior year summary'!$M27</f>
        <v>4184.9999999999945</v>
      </c>
      <c r="O127" s="8">
        <f>O55*'Prior year summary'!$G27</f>
        <v>50000</v>
      </c>
    </row>
    <row r="128" spans="1:15" x14ac:dyDescent="0.25">
      <c r="B128" t="str">
        <f t="shared" si="10"/>
        <v>YTD</v>
      </c>
      <c r="C128" s="8">
        <f>SUM($C127:C127)</f>
        <v>4165</v>
      </c>
      <c r="D128" s="8">
        <f>SUM($C127:D127)</f>
        <v>8330</v>
      </c>
      <c r="E128" s="8">
        <f>SUM($C127:E127)</f>
        <v>12495</v>
      </c>
      <c r="F128" s="8">
        <f>SUM($C127:F127)</f>
        <v>16660</v>
      </c>
      <c r="G128" s="8">
        <f>SUM($C127:G127)</f>
        <v>20825</v>
      </c>
      <c r="H128" s="8">
        <f>SUM($C127:H127)</f>
        <v>24990</v>
      </c>
      <c r="I128" s="8">
        <f>SUM($C127:I127)</f>
        <v>29155</v>
      </c>
      <c r="J128" s="8">
        <f>SUM($C127:J127)</f>
        <v>33320</v>
      </c>
      <c r="K128" s="8">
        <f>SUM($C127:K127)</f>
        <v>37485</v>
      </c>
      <c r="L128" s="8">
        <f>SUM($C127:L127)</f>
        <v>41650</v>
      </c>
      <c r="M128" s="8">
        <f>SUM($C127:M127)</f>
        <v>45815</v>
      </c>
      <c r="N128" s="8">
        <f>SUM($C127:N127)</f>
        <v>49999.999999999993</v>
      </c>
      <c r="O128" s="8"/>
    </row>
    <row r="129" spans="1:15" x14ac:dyDescent="0.25">
      <c r="B129" t="str">
        <f t="shared" si="10"/>
        <v>YTD Actual</v>
      </c>
      <c r="C129" s="44"/>
      <c r="D129" s="44"/>
      <c r="E129" s="44"/>
      <c r="F129" s="44"/>
      <c r="G129" s="44"/>
      <c r="H129" s="44"/>
      <c r="I129" s="44"/>
      <c r="J129" s="44"/>
      <c r="K129" s="44"/>
      <c r="L129" s="44"/>
      <c r="M129" s="44"/>
      <c r="N129" s="44"/>
      <c r="O129" s="8">
        <f>O57*'Prior year summary'!$G29</f>
        <v>0</v>
      </c>
    </row>
    <row r="130" spans="1:15" x14ac:dyDescent="0.25">
      <c r="A130" t="str">
        <f>A58</f>
        <v>Merchandise</v>
      </c>
      <c r="B130" t="str">
        <f t="shared" si="10"/>
        <v>Budget</v>
      </c>
      <c r="C130" s="8">
        <f>C58*'Prior year summary'!$M28</f>
        <v>6663.9999999999991</v>
      </c>
      <c r="D130" s="8">
        <f>D58*'Prior year summary'!$M28</f>
        <v>6663.9999999999991</v>
      </c>
      <c r="E130" s="8">
        <f>E58*'Prior year summary'!$M28</f>
        <v>6663.9999999999991</v>
      </c>
      <c r="F130" s="8">
        <f>F58*'Prior year summary'!$M28</f>
        <v>6663.9999999999991</v>
      </c>
      <c r="G130" s="8">
        <f>G58*'Prior year summary'!$M28</f>
        <v>6663.9999999999991</v>
      </c>
      <c r="H130" s="8">
        <f>H58*'Prior year summary'!$M28</f>
        <v>6663.9999999999991</v>
      </c>
      <c r="I130" s="8">
        <f>I58*'Prior year summary'!$M28</f>
        <v>6663.9999999999991</v>
      </c>
      <c r="J130" s="8">
        <f>J58*'Prior year summary'!$M28</f>
        <v>6663.9999999999991</v>
      </c>
      <c r="K130" s="8">
        <f>K58*'Prior year summary'!$M28</f>
        <v>6663.9999999999991</v>
      </c>
      <c r="L130" s="8">
        <f>L58*'Prior year summary'!$M28</f>
        <v>6663.9999999999991</v>
      </c>
      <c r="M130" s="8">
        <f>M58*'Prior year summary'!$M28</f>
        <v>6663.9999999999991</v>
      </c>
      <c r="N130" s="8">
        <f>N58*'Prior year summary'!$M28</f>
        <v>6695.9999999999909</v>
      </c>
      <c r="O130" s="8">
        <f>O58*'Prior year summary'!$G28</f>
        <v>80000</v>
      </c>
    </row>
    <row r="131" spans="1:15" x14ac:dyDescent="0.25">
      <c r="B131" t="str">
        <f t="shared" si="10"/>
        <v>YTD</v>
      </c>
      <c r="C131" s="8">
        <f>SUM($C130:C130)</f>
        <v>6663.9999999999991</v>
      </c>
      <c r="D131" s="8">
        <f>SUM($C130:D130)</f>
        <v>13327.999999999998</v>
      </c>
      <c r="E131" s="8">
        <f>SUM($C130:E130)</f>
        <v>19991.999999999996</v>
      </c>
      <c r="F131" s="8">
        <f>SUM($C130:F130)</f>
        <v>26655.999999999996</v>
      </c>
      <c r="G131" s="8">
        <f>SUM($C130:G130)</f>
        <v>33319.999999999993</v>
      </c>
      <c r="H131" s="8">
        <f>SUM($C130:H130)</f>
        <v>39983.999999999993</v>
      </c>
      <c r="I131" s="8">
        <f>SUM($C130:I130)</f>
        <v>46647.999999999993</v>
      </c>
      <c r="J131" s="8">
        <f>SUM($C130:J130)</f>
        <v>53311.999999999993</v>
      </c>
      <c r="K131" s="8">
        <f>SUM($C130:K130)</f>
        <v>59975.999999999993</v>
      </c>
      <c r="L131" s="8">
        <f>SUM($C130:L130)</f>
        <v>66639.999999999985</v>
      </c>
      <c r="M131" s="8">
        <f>SUM($C130:M130)</f>
        <v>73303.999999999985</v>
      </c>
      <c r="N131" s="8">
        <f>SUM($C130:N130)</f>
        <v>79999.999999999971</v>
      </c>
      <c r="O131" s="8"/>
    </row>
    <row r="132" spans="1:15" x14ac:dyDescent="0.25">
      <c r="B132" t="str">
        <f t="shared" si="10"/>
        <v>YTD Actual</v>
      </c>
      <c r="C132" s="44"/>
      <c r="D132" s="44"/>
      <c r="E132" s="44"/>
      <c r="F132" s="44"/>
      <c r="G132" s="44"/>
      <c r="H132" s="44"/>
      <c r="I132" s="44"/>
      <c r="J132" s="44"/>
      <c r="K132" s="44"/>
      <c r="L132" s="44"/>
      <c r="M132" s="44"/>
      <c r="N132" s="44"/>
      <c r="O132" s="8"/>
    </row>
    <row r="133" spans="1:15" x14ac:dyDescent="0.25">
      <c r="A133" t="str">
        <f>A61</f>
        <v>FS 13</v>
      </c>
      <c r="B133" t="str">
        <f t="shared" si="10"/>
        <v>Budget</v>
      </c>
      <c r="C133" s="8">
        <f>C61*'Prior year summary'!$M29</f>
        <v>0</v>
      </c>
      <c r="D133" s="8">
        <f>D61*'Prior year summary'!$M29</f>
        <v>0</v>
      </c>
      <c r="E133" s="8">
        <f>E61*'Prior year summary'!$M29</f>
        <v>0</v>
      </c>
      <c r="F133" s="8">
        <f>F61*'Prior year summary'!$M29</f>
        <v>0</v>
      </c>
      <c r="G133" s="8">
        <f>G61*'Prior year summary'!$M29</f>
        <v>0</v>
      </c>
      <c r="H133" s="8">
        <f>H61*'Prior year summary'!$M29</f>
        <v>0</v>
      </c>
      <c r="I133" s="8">
        <f>I61*'Prior year summary'!$M29</f>
        <v>0</v>
      </c>
      <c r="J133" s="8">
        <f>J61*'Prior year summary'!$M29</f>
        <v>0</v>
      </c>
      <c r="K133" s="8">
        <f>K61*'Prior year summary'!$M29</f>
        <v>0</v>
      </c>
      <c r="L133" s="8">
        <f>L61*'Prior year summary'!$M29</f>
        <v>0</v>
      </c>
      <c r="M133" s="8">
        <f>M61*'Prior year summary'!$M29</f>
        <v>0</v>
      </c>
      <c r="N133" s="8">
        <f>N61*'Prior year summary'!$M29</f>
        <v>0</v>
      </c>
      <c r="O133" s="8">
        <f>O61*'Prior year summary'!$G29</f>
        <v>0</v>
      </c>
    </row>
    <row r="134" spans="1:15" x14ac:dyDescent="0.25">
      <c r="B134" t="str">
        <f t="shared" si="10"/>
        <v>YTD</v>
      </c>
      <c r="C134" s="8">
        <f>SUM($C133:C133)</f>
        <v>0</v>
      </c>
      <c r="D134" s="8">
        <f>SUM($C133:D133)</f>
        <v>0</v>
      </c>
      <c r="E134" s="8">
        <f>SUM($C133:E133)</f>
        <v>0</v>
      </c>
      <c r="F134" s="8">
        <f>SUM($C133:F133)</f>
        <v>0</v>
      </c>
      <c r="G134" s="8">
        <f>SUM($C133:G133)</f>
        <v>0</v>
      </c>
      <c r="H134" s="8">
        <f>SUM($C133:H133)</f>
        <v>0</v>
      </c>
      <c r="I134" s="8">
        <f>SUM($C133:I133)</f>
        <v>0</v>
      </c>
      <c r="J134" s="8">
        <f>SUM($C133:J133)</f>
        <v>0</v>
      </c>
      <c r="K134" s="8">
        <f>SUM($C133:K133)</f>
        <v>0</v>
      </c>
      <c r="L134" s="8">
        <f>SUM($C133:L133)</f>
        <v>0</v>
      </c>
      <c r="M134" s="8">
        <f>SUM($C133:M133)</f>
        <v>0</v>
      </c>
      <c r="N134" s="8">
        <f>SUM($C133:N133)</f>
        <v>0</v>
      </c>
      <c r="O134" s="8"/>
    </row>
    <row r="135" spans="1:15" x14ac:dyDescent="0.25">
      <c r="B135" t="str">
        <f t="shared" si="10"/>
        <v>YTD Actual</v>
      </c>
      <c r="C135" s="44"/>
      <c r="D135" s="44"/>
      <c r="E135" s="44"/>
      <c r="F135" s="44"/>
      <c r="G135" s="44"/>
      <c r="H135" s="44"/>
      <c r="I135" s="44"/>
      <c r="J135" s="44"/>
      <c r="K135" s="44"/>
      <c r="L135" s="44"/>
      <c r="M135" s="44"/>
      <c r="N135" s="44"/>
    </row>
    <row r="136" spans="1:15" x14ac:dyDescent="0.25">
      <c r="A136" t="str">
        <f>A64</f>
        <v>FS 14</v>
      </c>
      <c r="B136" t="str">
        <f t="shared" si="10"/>
        <v>Budget</v>
      </c>
      <c r="C136" s="8">
        <f>C64*'Prior year summary'!$M30</f>
        <v>0</v>
      </c>
      <c r="D136" s="8">
        <f>D64*'Prior year summary'!$M30</f>
        <v>0</v>
      </c>
      <c r="E136" s="8">
        <f>E64*'Prior year summary'!$M30</f>
        <v>0</v>
      </c>
      <c r="F136" s="8">
        <f>F64*'Prior year summary'!$M30</f>
        <v>0</v>
      </c>
      <c r="G136" s="8">
        <f>G64*'Prior year summary'!$M30</f>
        <v>0</v>
      </c>
      <c r="H136" s="8">
        <f>H64*'Prior year summary'!$M30</f>
        <v>0</v>
      </c>
      <c r="I136" s="8">
        <f>I64*'Prior year summary'!$M30</f>
        <v>0</v>
      </c>
      <c r="J136" s="8">
        <f>J64*'Prior year summary'!$M30</f>
        <v>0</v>
      </c>
      <c r="K136" s="8">
        <f>K64*'Prior year summary'!$M30</f>
        <v>0</v>
      </c>
      <c r="L136" s="8">
        <f>L64*'Prior year summary'!$M30</f>
        <v>0</v>
      </c>
      <c r="M136" s="8">
        <f>M64*'Prior year summary'!$M30</f>
        <v>0</v>
      </c>
      <c r="N136" s="8">
        <f>N64*'Prior year summary'!$M30</f>
        <v>0</v>
      </c>
      <c r="O136" s="8">
        <f>O64*'Prior year summary'!$G30</f>
        <v>0</v>
      </c>
    </row>
    <row r="137" spans="1:15" x14ac:dyDescent="0.25">
      <c r="B137" t="str">
        <f t="shared" si="10"/>
        <v>YTD</v>
      </c>
      <c r="C137" s="8">
        <f>SUM($C136:C136)</f>
        <v>0</v>
      </c>
      <c r="D137" s="8">
        <f>SUM($C136:D136)</f>
        <v>0</v>
      </c>
      <c r="E137" s="8">
        <f>SUM($C136:E136)</f>
        <v>0</v>
      </c>
      <c r="F137" s="8">
        <f>SUM($C136:F136)</f>
        <v>0</v>
      </c>
      <c r="G137" s="8">
        <f>SUM($C136:G136)</f>
        <v>0</v>
      </c>
      <c r="H137" s="8">
        <f>SUM($C136:H136)</f>
        <v>0</v>
      </c>
      <c r="I137" s="8">
        <f>SUM($C136:I136)</f>
        <v>0</v>
      </c>
      <c r="J137" s="8">
        <f>SUM($C136:J136)</f>
        <v>0</v>
      </c>
      <c r="K137" s="8">
        <f>SUM($C136:K136)</f>
        <v>0</v>
      </c>
      <c r="L137" s="8">
        <f>SUM($C136:L136)</f>
        <v>0</v>
      </c>
      <c r="M137" s="8">
        <f>SUM($C136:M136)</f>
        <v>0</v>
      </c>
      <c r="N137" s="8">
        <f>SUM($C136:N136)</f>
        <v>0</v>
      </c>
      <c r="O137" s="8">
        <f>O65*'Prior year summary'!$G31</f>
        <v>0</v>
      </c>
    </row>
    <row r="138" spans="1:15" x14ac:dyDescent="0.25">
      <c r="B138" t="str">
        <f t="shared" si="10"/>
        <v>YTD Actual</v>
      </c>
      <c r="C138" s="44"/>
      <c r="D138" s="44"/>
      <c r="E138" s="44"/>
      <c r="F138" s="44"/>
      <c r="G138" s="44"/>
      <c r="H138" s="44"/>
      <c r="I138" s="44"/>
      <c r="J138" s="44"/>
      <c r="K138" s="44"/>
      <c r="L138" s="44"/>
      <c r="M138" s="44"/>
      <c r="N138" s="44"/>
    </row>
    <row r="139" spans="1:15" x14ac:dyDescent="0.25">
      <c r="B139">
        <f t="shared" si="10"/>
        <v>0</v>
      </c>
    </row>
    <row r="140" spans="1:15" x14ac:dyDescent="0.25">
      <c r="A140" t="str">
        <f>A68</f>
        <v>Sub Total Farm Supply</v>
      </c>
      <c r="B140" t="str">
        <f t="shared" si="10"/>
        <v>Budget</v>
      </c>
      <c r="C140" s="8">
        <f>SUM(C97,C100,C103,C106,C109,C112,C115,C118,C121,C124,C127,C130,C133,C136)</f>
        <v>83775.309799999988</v>
      </c>
      <c r="D140" s="8">
        <f t="shared" ref="D140:O142" si="11">SUM(D97,D100,D103,D106,D109,D112,D115,D118,D121,D124,D127,D130,D133,D136)</f>
        <v>83775.309799999988</v>
      </c>
      <c r="E140" s="8">
        <f t="shared" si="11"/>
        <v>83775.309799999988</v>
      </c>
      <c r="F140" s="8">
        <f t="shared" si="11"/>
        <v>83775.309799999988</v>
      </c>
      <c r="G140" s="8">
        <f t="shared" si="11"/>
        <v>83775.309799999988</v>
      </c>
      <c r="H140" s="8">
        <f t="shared" si="11"/>
        <v>83775.309799999988</v>
      </c>
      <c r="I140" s="8">
        <f t="shared" si="11"/>
        <v>83775.309799999988</v>
      </c>
      <c r="J140" s="8">
        <f t="shared" si="11"/>
        <v>83775.309799999988</v>
      </c>
      <c r="K140" s="8">
        <f t="shared" si="11"/>
        <v>83775.309799999988</v>
      </c>
      <c r="L140" s="8">
        <f t="shared" si="11"/>
        <v>83775.309799999988</v>
      </c>
      <c r="M140" s="8">
        <f t="shared" si="11"/>
        <v>83775.309799999988</v>
      </c>
      <c r="N140" s="8">
        <f t="shared" si="11"/>
        <v>84177.592199999897</v>
      </c>
      <c r="O140" s="8">
        <f t="shared" si="11"/>
        <v>1005706</v>
      </c>
    </row>
    <row r="141" spans="1:15" x14ac:dyDescent="0.25">
      <c r="B141" t="str">
        <f t="shared" si="10"/>
        <v>YTD</v>
      </c>
      <c r="C141" s="8">
        <f t="shared" ref="C141:N142" si="12">SUM(C98,C101,C104,C107,C110,C113,C116,C119,C122,C125,C128,C131,C134,C137)</f>
        <v>83775.309799999988</v>
      </c>
      <c r="D141" s="8">
        <f t="shared" si="12"/>
        <v>167550.61959999998</v>
      </c>
      <c r="E141" s="8">
        <f t="shared" si="12"/>
        <v>251325.92939999999</v>
      </c>
      <c r="F141" s="8">
        <f t="shared" si="12"/>
        <v>335101.23919999995</v>
      </c>
      <c r="G141" s="8">
        <f t="shared" si="12"/>
        <v>418876.549</v>
      </c>
      <c r="H141" s="8">
        <f t="shared" si="12"/>
        <v>502651.85879999999</v>
      </c>
      <c r="I141" s="8">
        <f t="shared" si="12"/>
        <v>586427.16859999998</v>
      </c>
      <c r="J141" s="8">
        <f t="shared" si="12"/>
        <v>670202.47839999991</v>
      </c>
      <c r="K141" s="8">
        <f t="shared" si="12"/>
        <v>753977.78820000007</v>
      </c>
      <c r="L141" s="8">
        <f t="shared" si="12"/>
        <v>837753.098</v>
      </c>
      <c r="M141" s="8">
        <f t="shared" si="12"/>
        <v>921528.40779999981</v>
      </c>
      <c r="N141" s="8">
        <f t="shared" si="12"/>
        <v>1005705.9999999998</v>
      </c>
      <c r="O141" s="8"/>
    </row>
    <row r="142" spans="1:15" x14ac:dyDescent="0.25">
      <c r="B142" t="str">
        <f t="shared" si="10"/>
        <v>YTD Actual</v>
      </c>
      <c r="C142" s="8">
        <f t="shared" si="12"/>
        <v>0</v>
      </c>
      <c r="D142" s="8">
        <f t="shared" si="12"/>
        <v>0</v>
      </c>
      <c r="E142" s="8">
        <f t="shared" si="12"/>
        <v>0</v>
      </c>
      <c r="F142" s="8">
        <f t="shared" si="12"/>
        <v>0</v>
      </c>
      <c r="G142" s="8">
        <f t="shared" si="12"/>
        <v>0</v>
      </c>
      <c r="H142" s="8">
        <f t="shared" si="12"/>
        <v>0</v>
      </c>
      <c r="I142" s="8">
        <f t="shared" si="12"/>
        <v>0</v>
      </c>
      <c r="J142" s="8">
        <f t="shared" si="12"/>
        <v>0</v>
      </c>
      <c r="K142" s="8">
        <f t="shared" si="12"/>
        <v>0</v>
      </c>
      <c r="L142" s="8">
        <f t="shared" si="12"/>
        <v>0</v>
      </c>
      <c r="M142" s="8">
        <f t="shared" si="12"/>
        <v>0</v>
      </c>
      <c r="N142" s="8">
        <f t="shared" si="12"/>
        <v>0</v>
      </c>
      <c r="O142" s="8">
        <f t="shared" si="11"/>
        <v>0</v>
      </c>
    </row>
    <row r="144" spans="1:15" x14ac:dyDescent="0.25">
      <c r="A144" t="s">
        <v>58</v>
      </c>
      <c r="B144" t="s">
        <v>164</v>
      </c>
      <c r="C144" s="8">
        <f>C93+C140</f>
        <v>221100.30979999999</v>
      </c>
      <c r="D144" s="8">
        <f t="shared" ref="D144:O146" si="13">D93+D140</f>
        <v>168775.30979999999</v>
      </c>
      <c r="E144" s="8">
        <f t="shared" si="13"/>
        <v>168775.30979999999</v>
      </c>
      <c r="F144" s="8">
        <f t="shared" si="13"/>
        <v>168775.30979999999</v>
      </c>
      <c r="G144" s="8">
        <f t="shared" si="13"/>
        <v>168775.30979999999</v>
      </c>
      <c r="H144" s="8">
        <f t="shared" si="13"/>
        <v>221100.30979999999</v>
      </c>
      <c r="I144" s="8">
        <f t="shared" si="13"/>
        <v>221100.30979999999</v>
      </c>
      <c r="J144" s="8">
        <f t="shared" si="13"/>
        <v>221100.30979999999</v>
      </c>
      <c r="K144" s="8">
        <f t="shared" si="13"/>
        <v>269400.30979999999</v>
      </c>
      <c r="L144" s="8">
        <f t="shared" si="13"/>
        <v>217075.30979999999</v>
      </c>
      <c r="M144" s="8">
        <f t="shared" si="13"/>
        <v>213050.30979999999</v>
      </c>
      <c r="N144" s="8">
        <f t="shared" si="13"/>
        <v>169177.59219999984</v>
      </c>
      <c r="O144" s="8">
        <f t="shared" si="13"/>
        <v>2428206</v>
      </c>
    </row>
    <row r="145" spans="2:15" x14ac:dyDescent="0.25">
      <c r="B145" t="s">
        <v>165</v>
      </c>
      <c r="C145" s="8">
        <f>C94+C141</f>
        <v>221100.30979999999</v>
      </c>
      <c r="D145" s="8">
        <f t="shared" ref="D145:N145" si="14">D94+D141</f>
        <v>389875.61959999998</v>
      </c>
      <c r="E145" s="8">
        <f t="shared" si="14"/>
        <v>558650.92940000002</v>
      </c>
      <c r="F145" s="8">
        <f t="shared" si="14"/>
        <v>727426.23919999995</v>
      </c>
      <c r="G145" s="8">
        <f t="shared" si="14"/>
        <v>896201.549</v>
      </c>
      <c r="H145" s="8">
        <f t="shared" si="14"/>
        <v>1117301.8588</v>
      </c>
      <c r="I145" s="8">
        <f t="shared" si="14"/>
        <v>1338402.1686</v>
      </c>
      <c r="J145" s="8">
        <f t="shared" si="14"/>
        <v>1559502.4783999999</v>
      </c>
      <c r="K145" s="8">
        <f t="shared" si="14"/>
        <v>1828902.7882000001</v>
      </c>
      <c r="L145" s="8">
        <f t="shared" si="14"/>
        <v>2045978.098</v>
      </c>
      <c r="M145" s="8">
        <f t="shared" si="14"/>
        <v>2259028.4077999997</v>
      </c>
      <c r="N145" s="8">
        <f t="shared" si="14"/>
        <v>2428206</v>
      </c>
      <c r="O145" s="8"/>
    </row>
    <row r="146" spans="2:15" x14ac:dyDescent="0.25">
      <c r="B146" t="s">
        <v>166</v>
      </c>
      <c r="C146" s="8">
        <f t="shared" ref="C146:N146" si="15">C95+C142</f>
        <v>0</v>
      </c>
      <c r="D146" s="8">
        <f t="shared" si="15"/>
        <v>0</v>
      </c>
      <c r="E146" s="8">
        <f t="shared" si="15"/>
        <v>0</v>
      </c>
      <c r="F146" s="8">
        <f t="shared" si="15"/>
        <v>0</v>
      </c>
      <c r="G146" s="8">
        <f t="shared" si="15"/>
        <v>0</v>
      </c>
      <c r="H146" s="8">
        <f t="shared" si="15"/>
        <v>0</v>
      </c>
      <c r="I146" s="8">
        <f t="shared" si="15"/>
        <v>0</v>
      </c>
      <c r="J146" s="8">
        <f t="shared" si="15"/>
        <v>0</v>
      </c>
      <c r="K146" s="8">
        <f t="shared" si="15"/>
        <v>0</v>
      </c>
      <c r="L146" s="8">
        <f t="shared" si="15"/>
        <v>0</v>
      </c>
      <c r="M146" s="8">
        <f t="shared" si="15"/>
        <v>0</v>
      </c>
      <c r="N146" s="8">
        <f t="shared" si="15"/>
        <v>0</v>
      </c>
      <c r="O146" s="8">
        <f t="shared" si="13"/>
        <v>0</v>
      </c>
    </row>
  </sheetData>
  <phoneticPr fontId="2"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89"/>
  <sheetViews>
    <sheetView topLeftCell="A61" workbookViewId="0">
      <selection activeCell="C6" sqref="C6"/>
    </sheetView>
  </sheetViews>
  <sheetFormatPr defaultRowHeight="15" x14ac:dyDescent="0.25"/>
  <cols>
    <col min="1" max="1" width="17.7109375" customWidth="1"/>
    <col min="3" max="3" width="10.5703125" bestFit="1" customWidth="1"/>
    <col min="15" max="15" width="11.7109375" customWidth="1"/>
  </cols>
  <sheetData>
    <row r="2" spans="1:15" x14ac:dyDescent="0.25">
      <c r="A2" t="str">
        <f>'5 year history'!A8</f>
        <v>Anytown Cooperative</v>
      </c>
      <c r="C2" s="77">
        <f>'5 year history'!F8</f>
        <v>41038</v>
      </c>
    </row>
    <row r="3" spans="1:15" x14ac:dyDescent="0.25">
      <c r="C3" t="str">
        <f>'Monthly Income Worksheet'!C8</f>
        <v>JAN</v>
      </c>
      <c r="D3" t="str">
        <f>'Monthly Income Worksheet'!D8</f>
        <v>FEB</v>
      </c>
      <c r="E3" t="str">
        <f>'Monthly Income Worksheet'!E8</f>
        <v>MAR</v>
      </c>
      <c r="F3" t="str">
        <f>'Monthly Income Worksheet'!F8</f>
        <v>APRIL</v>
      </c>
      <c r="G3" t="str">
        <f>'Monthly Income Worksheet'!G8</f>
        <v>MAY</v>
      </c>
      <c r="H3" t="str">
        <f>'Monthly Income Worksheet'!H8</f>
        <v>JUN</v>
      </c>
      <c r="I3" t="str">
        <f>'Monthly Income Worksheet'!I8</f>
        <v>JUL</v>
      </c>
      <c r="J3" t="str">
        <f>'Monthly Income Worksheet'!J8</f>
        <v>AUG</v>
      </c>
      <c r="K3" t="str">
        <f>'Monthly Income Worksheet'!K8</f>
        <v>SEPT</v>
      </c>
      <c r="L3" t="str">
        <f>'Monthly Income Worksheet'!L8</f>
        <v>OCT</v>
      </c>
      <c r="M3" t="str">
        <f>'Monthly Income Worksheet'!M8</f>
        <v>NOV</v>
      </c>
      <c r="N3" t="str">
        <f>'Monthly Income Worksheet'!N8</f>
        <v>DEC</v>
      </c>
      <c r="O3" t="str">
        <f>'Monthly Income Worksheet'!O8</f>
        <v>TOTAL</v>
      </c>
    </row>
    <row r="4" spans="1:15" x14ac:dyDescent="0.25">
      <c r="A4" t="str">
        <f>'Monthly Income Worksheet'!A9</f>
        <v>Income 1</v>
      </c>
      <c r="B4" t="s">
        <v>164</v>
      </c>
      <c r="C4" s="8">
        <f>'Monthly Income Worksheet'!C11*'Prior year summary'!F36</f>
        <v>0</v>
      </c>
      <c r="D4" s="8">
        <f>'Monthly Income Worksheet'!D11*'Prior year summary'!G36</f>
        <v>0</v>
      </c>
      <c r="E4" s="8">
        <f>'Monthly Income Worksheet'!E11*'Prior year summary'!H36</f>
        <v>0</v>
      </c>
      <c r="F4" s="8">
        <f>'Monthly Income Worksheet'!F11*'Prior year summary'!I36</f>
        <v>0</v>
      </c>
      <c r="G4" s="8">
        <f>'Monthly Income Worksheet'!G11*'Prior year summary'!J36</f>
        <v>0</v>
      </c>
      <c r="H4" s="8">
        <f>'Monthly Income Worksheet'!H11*'Prior year summary'!K36</f>
        <v>0</v>
      </c>
      <c r="I4" s="8">
        <f>'Monthly Income Worksheet'!I11*'Prior year summary'!L36</f>
        <v>0</v>
      </c>
      <c r="J4" s="8">
        <f>'Monthly Income Worksheet'!J11*'Prior year summary'!P36</f>
        <v>0</v>
      </c>
      <c r="K4" s="8">
        <f>'Monthly Income Worksheet'!K11*'Prior year summary'!Q36</f>
        <v>0</v>
      </c>
      <c r="L4" s="8">
        <f>'Monthly Income Worksheet'!L11*'Prior year summary'!R36</f>
        <v>0</v>
      </c>
      <c r="M4" s="8">
        <f>'Monthly Income Worksheet'!M11*'Prior year summary'!S36</f>
        <v>0</v>
      </c>
      <c r="N4" s="8">
        <f>'Monthly Income Worksheet'!N11*'Prior year summary'!T36</f>
        <v>0</v>
      </c>
      <c r="O4" s="8">
        <f>SUM(C4:N4)</f>
        <v>0</v>
      </c>
    </row>
    <row r="5" spans="1:15" x14ac:dyDescent="0.25">
      <c r="B5" t="s">
        <v>165</v>
      </c>
      <c r="C5" s="8">
        <f>SUM($C4:C4)</f>
        <v>0</v>
      </c>
      <c r="D5" s="8">
        <f>SUM($C4:D4)</f>
        <v>0</v>
      </c>
      <c r="E5" s="8">
        <f>SUM($C4:E4)</f>
        <v>0</v>
      </c>
      <c r="F5" s="8">
        <f>SUM($C4:F4)</f>
        <v>0</v>
      </c>
      <c r="G5" s="8">
        <f>SUM($C4:G4)</f>
        <v>0</v>
      </c>
      <c r="H5" s="8">
        <f>SUM($C4:H4)</f>
        <v>0</v>
      </c>
      <c r="I5" s="8">
        <f>SUM($C4:I4)</f>
        <v>0</v>
      </c>
      <c r="J5" s="8">
        <f>SUM($C4:J4)</f>
        <v>0</v>
      </c>
      <c r="K5" s="8">
        <f>SUM($C4:K4)</f>
        <v>0</v>
      </c>
      <c r="L5" s="8">
        <f>SUM($C4:L4)</f>
        <v>0</v>
      </c>
      <c r="M5" s="8">
        <f>SUM($C4:M4)</f>
        <v>0</v>
      </c>
      <c r="N5" s="8">
        <f>SUM($C4:N4)</f>
        <v>0</v>
      </c>
    </row>
    <row r="6" spans="1:15" x14ac:dyDescent="0.25">
      <c r="B6" t="s">
        <v>166</v>
      </c>
      <c r="C6" s="62"/>
      <c r="D6" s="62"/>
      <c r="E6" s="62"/>
      <c r="F6" s="62"/>
      <c r="G6" s="62"/>
      <c r="H6" s="62"/>
      <c r="I6" s="62"/>
      <c r="J6" s="62"/>
      <c r="K6" s="62"/>
      <c r="L6" s="62"/>
      <c r="M6" s="62"/>
      <c r="N6" s="62"/>
    </row>
    <row r="7" spans="1:15" x14ac:dyDescent="0.25">
      <c r="A7" t="str">
        <f>'Monthly Income Worksheet'!A12</f>
        <v>Labor</v>
      </c>
      <c r="B7" t="s">
        <v>164</v>
      </c>
      <c r="C7" s="8">
        <f>'Monthly Income Worksheet'!C14*'Prior year summary'!$F37</f>
        <v>8026.7879999999996</v>
      </c>
      <c r="D7" s="8">
        <f>'Monthly Income Worksheet'!D14*'Prior year summary'!$F37</f>
        <v>8026.7879999999996</v>
      </c>
      <c r="E7" s="8">
        <f>'Monthly Income Worksheet'!E14*'Prior year summary'!$F37</f>
        <v>8026.7879999999996</v>
      </c>
      <c r="F7" s="8">
        <f>'Monthly Income Worksheet'!F14*'Prior year summary'!$F37</f>
        <v>8026.7879999999996</v>
      </c>
      <c r="G7" s="8">
        <f>'Monthly Income Worksheet'!G14*'Prior year summary'!$F37</f>
        <v>8026.7879999999996</v>
      </c>
      <c r="H7" s="8">
        <f>'Monthly Income Worksheet'!H14*'Prior year summary'!$F37</f>
        <v>8026.7879999999996</v>
      </c>
      <c r="I7" s="8">
        <f>'Monthly Income Worksheet'!I14*'Prior year summary'!$F37</f>
        <v>8026.7879999999996</v>
      </c>
      <c r="J7" s="8">
        <f>'Monthly Income Worksheet'!J14*'Prior year summary'!$F37</f>
        <v>8026.7879999999996</v>
      </c>
      <c r="K7" s="8">
        <f>'Monthly Income Worksheet'!K14*'Prior year summary'!$F37</f>
        <v>8026.7879999999996</v>
      </c>
      <c r="L7" s="8">
        <f>'Monthly Income Worksheet'!L14*'Prior year summary'!$F37</f>
        <v>8026.7879999999996</v>
      </c>
      <c r="M7" s="8">
        <f>'Monthly Income Worksheet'!M14*'Prior year summary'!$F37</f>
        <v>8026.7879999999996</v>
      </c>
      <c r="N7" s="8">
        <f>'Monthly Income Worksheet'!N14*'Prior year summary'!$F37</f>
        <v>8065.3319999999894</v>
      </c>
      <c r="O7" s="8">
        <f>SUM(C7:N7)</f>
        <v>96359.999999999985</v>
      </c>
    </row>
    <row r="8" spans="1:15" x14ac:dyDescent="0.25">
      <c r="B8" t="s">
        <v>165</v>
      </c>
      <c r="C8" s="8">
        <f>SUM($C7:C7)</f>
        <v>8026.7879999999996</v>
      </c>
      <c r="D8" s="8">
        <f>SUM($C7:D7)</f>
        <v>16053.575999999999</v>
      </c>
      <c r="E8" s="8">
        <f>SUM($C7:E7)</f>
        <v>24080.363999999998</v>
      </c>
      <c r="F8" s="8">
        <f>SUM($C7:F7)</f>
        <v>32107.151999999998</v>
      </c>
      <c r="G8" s="8">
        <f>SUM($C7:G7)</f>
        <v>40133.939999999995</v>
      </c>
      <c r="H8" s="8">
        <f>SUM($C7:H7)</f>
        <v>48160.727999999996</v>
      </c>
      <c r="I8" s="8">
        <f>SUM($C7:I7)</f>
        <v>56187.515999999996</v>
      </c>
      <c r="J8" s="8">
        <f>SUM($C7:J7)</f>
        <v>64214.303999999996</v>
      </c>
      <c r="K8" s="8">
        <f>SUM($C7:K7)</f>
        <v>72241.09199999999</v>
      </c>
      <c r="L8" s="8">
        <f>SUM($C7:L7)</f>
        <v>80267.87999999999</v>
      </c>
      <c r="M8" s="8">
        <f>SUM($C7:M7)</f>
        <v>88294.667999999991</v>
      </c>
      <c r="N8" s="8">
        <f>SUM($C7:N7)</f>
        <v>96359.999999999985</v>
      </c>
    </row>
    <row r="9" spans="1:15" x14ac:dyDescent="0.25">
      <c r="B9" t="s">
        <v>166</v>
      </c>
      <c r="C9" s="62"/>
      <c r="D9" s="62"/>
      <c r="E9" s="62"/>
      <c r="F9" s="62"/>
      <c r="G9" s="62"/>
      <c r="H9" s="62"/>
      <c r="I9" s="62"/>
      <c r="J9" s="62"/>
      <c r="K9" s="62"/>
      <c r="L9" s="62"/>
      <c r="M9" s="62"/>
      <c r="N9" s="62"/>
    </row>
    <row r="10" spans="1:15" x14ac:dyDescent="0.25">
      <c r="A10" t="str">
        <f>'Monthly Income Worksheet'!A15</f>
        <v>Cleaning and Treating Income</v>
      </c>
      <c r="B10" t="s">
        <v>164</v>
      </c>
      <c r="C10" s="8">
        <f>'Monthly Income Worksheet'!C17*'Prior year summary'!$F38</f>
        <v>11443.087600000001</v>
      </c>
      <c r="D10" s="8">
        <f>'Monthly Income Worksheet'!D17*'Prior year summary'!$F38</f>
        <v>11443.087600000001</v>
      </c>
      <c r="E10" s="8">
        <f>'Monthly Income Worksheet'!E17*'Prior year summary'!$F38</f>
        <v>11443.087600000001</v>
      </c>
      <c r="F10" s="8">
        <f>'Monthly Income Worksheet'!F17*'Prior year summary'!$F38</f>
        <v>11443.087600000001</v>
      </c>
      <c r="G10" s="8">
        <f>'Monthly Income Worksheet'!G17*'Prior year summary'!$F38</f>
        <v>11443.087600000001</v>
      </c>
      <c r="H10" s="8">
        <f>'Monthly Income Worksheet'!H17*'Prior year summary'!$F38</f>
        <v>11443.087600000001</v>
      </c>
      <c r="I10" s="8">
        <f>'Monthly Income Worksheet'!I17*'Prior year summary'!$F38</f>
        <v>11443.087600000001</v>
      </c>
      <c r="J10" s="8">
        <f>'Monthly Income Worksheet'!J17*'Prior year summary'!$F38</f>
        <v>11443.087600000001</v>
      </c>
      <c r="K10" s="8">
        <f>'Monthly Income Worksheet'!K17*'Prior year summary'!$F38</f>
        <v>11443.087600000001</v>
      </c>
      <c r="L10" s="8">
        <f>'Monthly Income Worksheet'!L17*'Prior year summary'!$F38</f>
        <v>11443.087600000001</v>
      </c>
      <c r="M10" s="8">
        <f>'Monthly Income Worksheet'!M17*'Prior year summary'!$F38</f>
        <v>11443.087600000001</v>
      </c>
      <c r="N10" s="8">
        <f>'Monthly Income Worksheet'!N17*'Prior year summary'!$F38</f>
        <v>11498.036399999984</v>
      </c>
      <c r="O10" s="8">
        <f>SUM(C10:N10)</f>
        <v>137372</v>
      </c>
    </row>
    <row r="11" spans="1:15" x14ac:dyDescent="0.25">
      <c r="B11" t="s">
        <v>165</v>
      </c>
      <c r="C11" s="8">
        <f>SUM($C10:C10)</f>
        <v>11443.087600000001</v>
      </c>
      <c r="D11" s="8">
        <f>SUM($C10:D10)</f>
        <v>22886.175200000001</v>
      </c>
      <c r="E11" s="8">
        <f>SUM($C10:E10)</f>
        <v>34329.262800000004</v>
      </c>
      <c r="F11" s="8">
        <f>SUM($C10:F10)</f>
        <v>45772.350400000003</v>
      </c>
      <c r="G11" s="8">
        <f>SUM($C10:G10)</f>
        <v>57215.438000000002</v>
      </c>
      <c r="H11" s="8">
        <f>SUM($C10:H10)</f>
        <v>68658.525600000008</v>
      </c>
      <c r="I11" s="8">
        <f>SUM($C10:I10)</f>
        <v>80101.613200000007</v>
      </c>
      <c r="J11" s="8">
        <f>SUM($C10:J10)</f>
        <v>91544.700800000006</v>
      </c>
      <c r="K11" s="8">
        <f>SUM($C10:K10)</f>
        <v>102987.7884</v>
      </c>
      <c r="L11" s="8">
        <f>SUM($C10:L10)</f>
        <v>114430.876</v>
      </c>
      <c r="M11" s="8">
        <f>SUM($C10:M10)</f>
        <v>125873.9636</v>
      </c>
      <c r="N11" s="8">
        <f>SUM($C10:N10)</f>
        <v>137372</v>
      </c>
    </row>
    <row r="12" spans="1:15" x14ac:dyDescent="0.25">
      <c r="B12" t="s">
        <v>166</v>
      </c>
      <c r="C12" s="62"/>
      <c r="D12" s="62"/>
      <c r="E12" s="62"/>
      <c r="F12" s="62"/>
      <c r="G12" s="62"/>
      <c r="H12" s="62"/>
      <c r="I12" s="62"/>
      <c r="J12" s="62"/>
      <c r="K12" s="62"/>
      <c r="L12" s="62"/>
      <c r="M12" s="62"/>
      <c r="N12" s="62"/>
    </row>
    <row r="13" spans="1:15" x14ac:dyDescent="0.25">
      <c r="A13" t="str">
        <f>'Monthly Income Worksheet'!A18</f>
        <v>Blending</v>
      </c>
      <c r="B13" t="s">
        <v>164</v>
      </c>
      <c r="C13" s="8">
        <f>'Monthly Income Worksheet'!C20*'Prior year summary'!$F39</f>
        <v>539.61739999999998</v>
      </c>
      <c r="D13" s="8">
        <f>'Monthly Income Worksheet'!D20*'Prior year summary'!$F39</f>
        <v>539.61739999999998</v>
      </c>
      <c r="E13" s="8">
        <f>'Monthly Income Worksheet'!E20*'Prior year summary'!$F39</f>
        <v>539.61739999999998</v>
      </c>
      <c r="F13" s="8">
        <f>'Monthly Income Worksheet'!F20*'Prior year summary'!$F39</f>
        <v>539.61739999999998</v>
      </c>
      <c r="G13" s="8">
        <f>'Monthly Income Worksheet'!G20*'Prior year summary'!$F39</f>
        <v>539.61739999999998</v>
      </c>
      <c r="H13" s="8">
        <f>'Monthly Income Worksheet'!H20*'Prior year summary'!$F39</f>
        <v>539.61739999999998</v>
      </c>
      <c r="I13" s="8">
        <f>'Monthly Income Worksheet'!I20*'Prior year summary'!$F39</f>
        <v>539.61739999999998</v>
      </c>
      <c r="J13" s="8">
        <f>'Monthly Income Worksheet'!J20*'Prior year summary'!$F39</f>
        <v>539.61739999999998</v>
      </c>
      <c r="K13" s="8">
        <f>'Monthly Income Worksheet'!K20*'Prior year summary'!$F39</f>
        <v>539.61739999999998</v>
      </c>
      <c r="L13" s="8">
        <f>'Monthly Income Worksheet'!L20*'Prior year summary'!$F39</f>
        <v>539.61739999999998</v>
      </c>
      <c r="M13" s="8">
        <f>'Monthly Income Worksheet'!M20*'Prior year summary'!$F39</f>
        <v>539.61739999999998</v>
      </c>
      <c r="N13" s="8">
        <f>'Monthly Income Worksheet'!N20*'Prior year summary'!$F39</f>
        <v>542.20859999999925</v>
      </c>
      <c r="O13" s="8">
        <f>SUM(C13:N13)</f>
        <v>6477.9999999999991</v>
      </c>
    </row>
    <row r="14" spans="1:15" x14ac:dyDescent="0.25">
      <c r="B14" t="s">
        <v>165</v>
      </c>
      <c r="C14" s="8">
        <f>SUM($C13:C13)</f>
        <v>539.61739999999998</v>
      </c>
      <c r="D14" s="8">
        <f>SUM($C13:D13)</f>
        <v>1079.2348</v>
      </c>
      <c r="E14" s="8">
        <f>SUM($C13:E13)</f>
        <v>1618.8521999999998</v>
      </c>
      <c r="F14" s="8">
        <f>SUM($C13:F13)</f>
        <v>2158.4695999999999</v>
      </c>
      <c r="G14" s="8">
        <f>SUM($C13:G13)</f>
        <v>2698.087</v>
      </c>
      <c r="H14" s="8">
        <f>SUM($C13:H13)</f>
        <v>3237.7044000000001</v>
      </c>
      <c r="I14" s="8">
        <f>SUM($C13:I13)</f>
        <v>3777.3218000000002</v>
      </c>
      <c r="J14" s="8">
        <f>SUM($C13:J13)</f>
        <v>4316.9391999999998</v>
      </c>
      <c r="K14" s="8">
        <f>SUM($C13:K13)</f>
        <v>4856.5565999999999</v>
      </c>
      <c r="L14" s="8">
        <f>SUM($C13:L13)</f>
        <v>5396.174</v>
      </c>
      <c r="M14" s="8">
        <f>SUM($C13:M13)</f>
        <v>5935.7914000000001</v>
      </c>
      <c r="N14" s="8">
        <f>SUM($C13:N13)</f>
        <v>6477.9999999999991</v>
      </c>
    </row>
    <row r="15" spans="1:15" x14ac:dyDescent="0.25">
      <c r="B15" t="s">
        <v>166</v>
      </c>
      <c r="C15" s="62"/>
      <c r="D15" s="62"/>
      <c r="E15" s="62"/>
      <c r="F15" s="62"/>
      <c r="G15" s="62"/>
      <c r="H15" s="62"/>
      <c r="I15" s="62"/>
      <c r="J15" s="62"/>
      <c r="K15" s="62"/>
      <c r="L15" s="62"/>
      <c r="M15" s="62"/>
      <c r="N15" s="62"/>
    </row>
    <row r="16" spans="1:15" x14ac:dyDescent="0.25">
      <c r="A16" t="str">
        <f>'Monthly Income Worksheet'!A21</f>
        <v>Storage</v>
      </c>
      <c r="B16" t="s">
        <v>164</v>
      </c>
      <c r="C16" s="8">
        <f>'Monthly Income Worksheet'!C23*'Prior year summary'!$F40</f>
        <v>74970</v>
      </c>
      <c r="D16" s="8">
        <f>'Monthly Income Worksheet'!D23*'Prior year summary'!$F40</f>
        <v>74970</v>
      </c>
      <c r="E16" s="8">
        <f>'Monthly Income Worksheet'!E23*'Prior year summary'!$F40</f>
        <v>74970</v>
      </c>
      <c r="F16" s="8">
        <f>'Monthly Income Worksheet'!F23*'Prior year summary'!$F40</f>
        <v>74970</v>
      </c>
      <c r="G16" s="8">
        <f>'Monthly Income Worksheet'!G23*'Prior year summary'!$F40</f>
        <v>74970</v>
      </c>
      <c r="H16" s="8">
        <f>'Monthly Income Worksheet'!H23*'Prior year summary'!$F40</f>
        <v>74970</v>
      </c>
      <c r="I16" s="8">
        <f>'Monthly Income Worksheet'!I23*'Prior year summary'!$F40</f>
        <v>74970</v>
      </c>
      <c r="J16" s="8">
        <f>'Monthly Income Worksheet'!J23*'Prior year summary'!$F40</f>
        <v>74970</v>
      </c>
      <c r="K16" s="8">
        <f>'Monthly Income Worksheet'!K23*'Prior year summary'!$F40</f>
        <v>74970</v>
      </c>
      <c r="L16" s="8">
        <f>'Monthly Income Worksheet'!L23*'Prior year summary'!$F40</f>
        <v>74970</v>
      </c>
      <c r="M16" s="8">
        <f>'Monthly Income Worksheet'!M23*'Prior year summary'!$F40</f>
        <v>74970</v>
      </c>
      <c r="N16" s="8">
        <f>'Monthly Income Worksheet'!N23*'Prior year summary'!$F40</f>
        <v>75329.999999999898</v>
      </c>
      <c r="O16" s="8">
        <f>SUM(C16:N16)</f>
        <v>899999.99999999988</v>
      </c>
    </row>
    <row r="17" spans="1:15" x14ac:dyDescent="0.25">
      <c r="B17" t="s">
        <v>165</v>
      </c>
      <c r="C17" s="8">
        <f>SUM($C16:C16)</f>
        <v>74970</v>
      </c>
      <c r="D17" s="8">
        <f>SUM($C16:D16)</f>
        <v>149940</v>
      </c>
      <c r="E17" s="8">
        <f>SUM($C16:E16)</f>
        <v>224910</v>
      </c>
      <c r="F17" s="8">
        <f>SUM($C16:F16)</f>
        <v>299880</v>
      </c>
      <c r="G17" s="8">
        <f>SUM($C16:G16)</f>
        <v>374850</v>
      </c>
      <c r="H17" s="8">
        <f>SUM($C16:H16)</f>
        <v>449820</v>
      </c>
      <c r="I17" s="8">
        <f>SUM($C16:I16)</f>
        <v>524790</v>
      </c>
      <c r="J17" s="8">
        <f>SUM($C16:J16)</f>
        <v>599760</v>
      </c>
      <c r="K17" s="8">
        <f>SUM($C16:K16)</f>
        <v>674730</v>
      </c>
      <c r="L17" s="8">
        <f>SUM($C16:L16)</f>
        <v>749700</v>
      </c>
      <c r="M17" s="8">
        <f>SUM($C16:M16)</f>
        <v>824670</v>
      </c>
      <c r="N17" s="8">
        <f>SUM($C16:N16)</f>
        <v>899999.99999999988</v>
      </c>
    </row>
    <row r="18" spans="1:15" x14ac:dyDescent="0.25">
      <c r="B18" t="s">
        <v>166</v>
      </c>
      <c r="C18" s="62"/>
      <c r="D18" s="62"/>
      <c r="E18" s="62"/>
      <c r="F18" s="62"/>
      <c r="G18" s="62"/>
      <c r="H18" s="62"/>
      <c r="I18" s="62"/>
      <c r="J18" s="62"/>
      <c r="K18" s="62"/>
      <c r="L18" s="62"/>
      <c r="M18" s="62"/>
      <c r="N18" s="62"/>
    </row>
    <row r="19" spans="1:15" x14ac:dyDescent="0.25">
      <c r="A19" t="str">
        <f>'Monthly Income Worksheet'!A24</f>
        <v>Misc</v>
      </c>
      <c r="B19" t="s">
        <v>164</v>
      </c>
      <c r="C19" s="8">
        <f>'Monthly Income Worksheet'!C26*'Prior year summary'!$F41</f>
        <v>34780.082399999999</v>
      </c>
      <c r="D19" s="8">
        <f>'Monthly Income Worksheet'!D26*'Prior year summary'!$F41</f>
        <v>34780.082399999999</v>
      </c>
      <c r="E19" s="8">
        <f>'Monthly Income Worksheet'!E26*'Prior year summary'!$F41</f>
        <v>34780.082399999999</v>
      </c>
      <c r="F19" s="8">
        <f>'Monthly Income Worksheet'!F26*'Prior year summary'!$F41</f>
        <v>34780.082399999999</v>
      </c>
      <c r="G19" s="8">
        <f>'Monthly Income Worksheet'!G26*'Prior year summary'!$F41</f>
        <v>34780.082399999999</v>
      </c>
      <c r="H19" s="8">
        <f>'Monthly Income Worksheet'!H26*'Prior year summary'!$F41</f>
        <v>34780.082399999999</v>
      </c>
      <c r="I19" s="8">
        <f>'Monthly Income Worksheet'!I26*'Prior year summary'!$F41</f>
        <v>34780.082399999999</v>
      </c>
      <c r="J19" s="8">
        <f>'Monthly Income Worksheet'!J26*'Prior year summary'!$F41</f>
        <v>34780.082399999999</v>
      </c>
      <c r="K19" s="8">
        <f>'Monthly Income Worksheet'!K26*'Prior year summary'!$F41</f>
        <v>34780.082399999999</v>
      </c>
      <c r="L19" s="8">
        <f>'Monthly Income Worksheet'!L26*'Prior year summary'!$F41</f>
        <v>34780.082399999999</v>
      </c>
      <c r="M19" s="8">
        <f>'Monthly Income Worksheet'!M26*'Prior year summary'!$F41</f>
        <v>34780.082399999999</v>
      </c>
      <c r="N19" s="8">
        <f>'Monthly Income Worksheet'!N26*'Prior year summary'!$F41</f>
        <v>34947.093599999949</v>
      </c>
      <c r="O19" s="8">
        <f>SUM(C19:N19)</f>
        <v>417528.00000000006</v>
      </c>
    </row>
    <row r="20" spans="1:15" x14ac:dyDescent="0.25">
      <c r="B20" t="s">
        <v>165</v>
      </c>
      <c r="C20" s="8">
        <f>SUM($C19:C19)</f>
        <v>34780.082399999999</v>
      </c>
      <c r="D20" s="8">
        <f>SUM($C19:D19)</f>
        <v>69560.164799999999</v>
      </c>
      <c r="E20" s="8">
        <f>SUM($C19:E19)</f>
        <v>104340.2472</v>
      </c>
      <c r="F20" s="8">
        <f>SUM($C19:F19)</f>
        <v>139120.3296</v>
      </c>
      <c r="G20" s="8">
        <f>SUM($C19:G19)</f>
        <v>173900.41200000001</v>
      </c>
      <c r="H20" s="8">
        <f>SUM($C19:H19)</f>
        <v>208680.49440000003</v>
      </c>
      <c r="I20" s="8">
        <f>SUM($C19:I19)</f>
        <v>243460.57680000004</v>
      </c>
      <c r="J20" s="8">
        <f>SUM($C19:J19)</f>
        <v>278240.65920000005</v>
      </c>
      <c r="K20" s="8">
        <f>SUM($C19:K19)</f>
        <v>313020.74160000007</v>
      </c>
      <c r="L20" s="8">
        <f>SUM($C19:L19)</f>
        <v>347800.82400000008</v>
      </c>
      <c r="M20" s="8">
        <f>SUM($C19:M19)</f>
        <v>382580.90640000009</v>
      </c>
      <c r="N20" s="8">
        <f>SUM($C19:N19)</f>
        <v>417528.00000000006</v>
      </c>
    </row>
    <row r="21" spans="1:15" x14ac:dyDescent="0.25">
      <c r="B21" t="s">
        <v>166</v>
      </c>
      <c r="C21" s="62"/>
      <c r="D21" s="62"/>
      <c r="E21" s="62"/>
      <c r="F21" s="62"/>
      <c r="G21" s="62"/>
      <c r="H21" s="62"/>
      <c r="I21" s="62"/>
      <c r="J21" s="62"/>
      <c r="K21" s="62"/>
      <c r="L21" s="62"/>
      <c r="M21" s="62"/>
      <c r="N21" s="62"/>
    </row>
    <row r="22" spans="1:15" x14ac:dyDescent="0.25">
      <c r="A22" t="str">
        <f>'Monthly Income Worksheet'!A27</f>
        <v>Discounts</v>
      </c>
      <c r="B22" t="s">
        <v>164</v>
      </c>
      <c r="C22" s="8">
        <f>'Monthly Income Worksheet'!C29*'Prior year summary'!$F42</f>
        <v>-7716.8287</v>
      </c>
      <c r="D22" s="8">
        <f>'Monthly Income Worksheet'!D29*'Prior year summary'!$F42</f>
        <v>-7716.8287</v>
      </c>
      <c r="E22" s="8">
        <f>'Monthly Income Worksheet'!E29*'Prior year summary'!$F42</f>
        <v>-7716.8287</v>
      </c>
      <c r="F22" s="8">
        <f>'Monthly Income Worksheet'!F29*'Prior year summary'!$F42</f>
        <v>-7716.8287</v>
      </c>
      <c r="G22" s="8">
        <f>'Monthly Income Worksheet'!G29*'Prior year summary'!$F42</f>
        <v>-7716.8287</v>
      </c>
      <c r="H22" s="8">
        <f>'Monthly Income Worksheet'!H29*'Prior year summary'!$F42</f>
        <v>-7716.8287</v>
      </c>
      <c r="I22" s="8">
        <f>'Monthly Income Worksheet'!I29*'Prior year summary'!$F42</f>
        <v>-7716.8287</v>
      </c>
      <c r="J22" s="8">
        <f>'Monthly Income Worksheet'!J29*'Prior year summary'!$F42</f>
        <v>-7716.8287</v>
      </c>
      <c r="K22" s="8">
        <f>'Monthly Income Worksheet'!K29*'Prior year summary'!$F42</f>
        <v>-7716.8287</v>
      </c>
      <c r="L22" s="8">
        <f>'Monthly Income Worksheet'!L29*'Prior year summary'!$F42</f>
        <v>-7716.8287</v>
      </c>
      <c r="M22" s="8">
        <f>'Monthly Income Worksheet'!M29*'Prior year summary'!$F42</f>
        <v>-7716.8287</v>
      </c>
      <c r="N22" s="8">
        <f>'Monthly Income Worksheet'!N29*'Prior year summary'!$F42</f>
        <v>-7753.8842999999897</v>
      </c>
      <c r="O22" s="8">
        <f>SUM(C22:N22)</f>
        <v>-92638.999999999985</v>
      </c>
    </row>
    <row r="23" spans="1:15" x14ac:dyDescent="0.25">
      <c r="B23" t="s">
        <v>165</v>
      </c>
      <c r="C23" s="8">
        <f>SUM($C22:C22)</f>
        <v>-7716.8287</v>
      </c>
      <c r="D23" s="8">
        <f>SUM($C22:D22)</f>
        <v>-15433.6574</v>
      </c>
      <c r="E23" s="8">
        <f>SUM($C22:E22)</f>
        <v>-23150.486100000002</v>
      </c>
      <c r="F23" s="8">
        <f>SUM($C22:F22)</f>
        <v>-30867.3148</v>
      </c>
      <c r="G23" s="8">
        <f>SUM($C22:G22)</f>
        <v>-38584.143499999998</v>
      </c>
      <c r="H23" s="8">
        <f>SUM($C22:H22)</f>
        <v>-46300.972199999997</v>
      </c>
      <c r="I23" s="8">
        <f>SUM($C22:I22)</f>
        <v>-54017.800899999995</v>
      </c>
      <c r="J23" s="8">
        <f>SUM($C22:J22)</f>
        <v>-61734.629599999993</v>
      </c>
      <c r="K23" s="8">
        <f>SUM($C22:K22)</f>
        <v>-69451.458299999998</v>
      </c>
      <c r="L23" s="8">
        <f>SUM($C22:L22)</f>
        <v>-77168.286999999997</v>
      </c>
      <c r="M23" s="8">
        <f>SUM($C22:M22)</f>
        <v>-84885.115699999995</v>
      </c>
      <c r="N23" s="8">
        <f>SUM($C22:N22)</f>
        <v>-92638.999999999985</v>
      </c>
    </row>
    <row r="24" spans="1:15" x14ac:dyDescent="0.25">
      <c r="B24" t="s">
        <v>166</v>
      </c>
      <c r="C24" s="62"/>
      <c r="D24" s="62"/>
      <c r="E24" s="62"/>
      <c r="F24" s="62"/>
      <c r="G24" s="62"/>
      <c r="H24" s="62"/>
      <c r="I24" s="62"/>
      <c r="J24" s="62"/>
      <c r="K24" s="62"/>
      <c r="L24" s="62"/>
      <c r="M24" s="62"/>
      <c r="N24" s="62"/>
    </row>
    <row r="25" spans="1:15" x14ac:dyDescent="0.25">
      <c r="A25" t="str">
        <f>'Monthly Income Worksheet'!A30</f>
        <v>Delivery</v>
      </c>
      <c r="B25" t="s">
        <v>164</v>
      </c>
      <c r="C25" s="8">
        <f>'Monthly Income Worksheet'!C32*'Prior year summary'!$F43</f>
        <v>745.70159999999998</v>
      </c>
      <c r="D25" s="8">
        <f>'Monthly Income Worksheet'!D32*'Prior year summary'!$F43</f>
        <v>745.70159999999998</v>
      </c>
      <c r="E25" s="8">
        <f>'Monthly Income Worksheet'!E32*'Prior year summary'!$F43</f>
        <v>745.70159999999998</v>
      </c>
      <c r="F25" s="8">
        <f>'Monthly Income Worksheet'!F32*'Prior year summary'!$F43</f>
        <v>745.70159999999998</v>
      </c>
      <c r="G25" s="8">
        <f>'Monthly Income Worksheet'!G32*'Prior year summary'!$F43</f>
        <v>745.70159999999998</v>
      </c>
      <c r="H25" s="8">
        <f>'Monthly Income Worksheet'!H32*'Prior year summary'!$F43</f>
        <v>745.70159999999998</v>
      </c>
      <c r="I25" s="8">
        <f>'Monthly Income Worksheet'!I32*'Prior year summary'!$F43</f>
        <v>745.70159999999998</v>
      </c>
      <c r="J25" s="8">
        <f>'Monthly Income Worksheet'!J32*'Prior year summary'!$F43</f>
        <v>745.70159999999998</v>
      </c>
      <c r="K25" s="8">
        <f>'Monthly Income Worksheet'!K32*'Prior year summary'!$F43</f>
        <v>745.70159999999998</v>
      </c>
      <c r="L25" s="8">
        <f>'Monthly Income Worksheet'!L32*'Prior year summary'!$F43</f>
        <v>745.70159999999998</v>
      </c>
      <c r="M25" s="8">
        <f>'Monthly Income Worksheet'!M32*'Prior year summary'!$F43</f>
        <v>745.70159999999998</v>
      </c>
      <c r="N25" s="8">
        <f>'Monthly Income Worksheet'!N32*'Prior year summary'!$F43</f>
        <v>749.28239999999903</v>
      </c>
      <c r="O25" s="8">
        <f>SUM(C25:N25)</f>
        <v>8952</v>
      </c>
    </row>
    <row r="26" spans="1:15" x14ac:dyDescent="0.25">
      <c r="B26" t="s">
        <v>165</v>
      </c>
      <c r="C26" s="8">
        <f>SUM($C25:C25)</f>
        <v>745.70159999999998</v>
      </c>
      <c r="D26" s="8">
        <f>SUM($C25:D25)</f>
        <v>1491.4032</v>
      </c>
      <c r="E26" s="8">
        <f>SUM($C25:E25)</f>
        <v>2237.1048000000001</v>
      </c>
      <c r="F26" s="8">
        <f>SUM($C25:F25)</f>
        <v>2982.8063999999999</v>
      </c>
      <c r="G26" s="8">
        <f>SUM($C25:G25)</f>
        <v>3728.5079999999998</v>
      </c>
      <c r="H26" s="8">
        <f>SUM($C25:H25)</f>
        <v>4474.2096000000001</v>
      </c>
      <c r="I26" s="8">
        <f>SUM($C25:I25)</f>
        <v>5219.9112000000005</v>
      </c>
      <c r="J26" s="8">
        <f>SUM($C25:J25)</f>
        <v>5965.6128000000008</v>
      </c>
      <c r="K26" s="8">
        <f>SUM($C25:K25)</f>
        <v>6711.3144000000011</v>
      </c>
      <c r="L26" s="8">
        <f>SUM($C25:L25)</f>
        <v>7457.0160000000014</v>
      </c>
      <c r="M26" s="8">
        <f>SUM($C25:M25)</f>
        <v>8202.7176000000018</v>
      </c>
      <c r="N26" s="8">
        <f>SUM($C25:N25)</f>
        <v>8952</v>
      </c>
    </row>
    <row r="27" spans="1:15" x14ac:dyDescent="0.25">
      <c r="B27" t="s">
        <v>166</v>
      </c>
      <c r="C27" s="62"/>
      <c r="D27" s="62"/>
      <c r="E27" s="62"/>
      <c r="F27" s="62"/>
      <c r="G27" s="62"/>
      <c r="H27" s="62"/>
      <c r="I27" s="62"/>
      <c r="J27" s="62"/>
      <c r="K27" s="62"/>
      <c r="L27" s="62"/>
      <c r="M27" s="62"/>
      <c r="N27" s="62"/>
    </row>
    <row r="28" spans="1:15" x14ac:dyDescent="0.25">
      <c r="A28" t="str">
        <f>'Monthly Income Worksheet'!A33</f>
        <v>Milling</v>
      </c>
      <c r="B28" t="s">
        <v>164</v>
      </c>
      <c r="C28" s="8">
        <f>'Monthly Income Worksheet'!C35*'Prior year summary'!$F44</f>
        <v>2380.6307000000002</v>
      </c>
      <c r="D28" s="8">
        <f>'Monthly Income Worksheet'!D35*'Prior year summary'!$F44</f>
        <v>2380.6307000000002</v>
      </c>
      <c r="E28" s="8">
        <f>'Monthly Income Worksheet'!E35*'Prior year summary'!$F44</f>
        <v>2380.6307000000002</v>
      </c>
      <c r="F28" s="8">
        <f>'Monthly Income Worksheet'!F35*'Prior year summary'!$F44</f>
        <v>2380.6307000000002</v>
      </c>
      <c r="G28" s="8">
        <f>'Monthly Income Worksheet'!G35*'Prior year summary'!$F44</f>
        <v>2380.6307000000002</v>
      </c>
      <c r="H28" s="8">
        <f>'Monthly Income Worksheet'!H35*'Prior year summary'!$F44</f>
        <v>2380.6307000000002</v>
      </c>
      <c r="I28" s="8">
        <f>'Monthly Income Worksheet'!I35*'Prior year summary'!$F44</f>
        <v>2380.6307000000002</v>
      </c>
      <c r="J28" s="8">
        <f>'Monthly Income Worksheet'!J35*'Prior year summary'!$F44</f>
        <v>2380.6307000000002</v>
      </c>
      <c r="K28" s="8">
        <f>'Monthly Income Worksheet'!K35*'Prior year summary'!$F44</f>
        <v>2380.6307000000002</v>
      </c>
      <c r="L28" s="8">
        <f>'Monthly Income Worksheet'!L35*'Prior year summary'!$F44</f>
        <v>2380.6307000000002</v>
      </c>
      <c r="M28" s="8">
        <f>'Monthly Income Worksheet'!M35*'Prior year summary'!$F44</f>
        <v>2380.6307000000002</v>
      </c>
      <c r="N28" s="8">
        <f>'Monthly Income Worksheet'!N35*'Prior year summary'!$F44</f>
        <v>2392.0622999999969</v>
      </c>
      <c r="O28" s="8">
        <f>SUM(C28:N28)</f>
        <v>28579.000000000004</v>
      </c>
    </row>
    <row r="29" spans="1:15" x14ac:dyDescent="0.25">
      <c r="B29" t="s">
        <v>165</v>
      </c>
      <c r="C29" s="8">
        <f>SUM($C28:C28)</f>
        <v>2380.6307000000002</v>
      </c>
      <c r="D29" s="8">
        <f>SUM($C28:D28)</f>
        <v>4761.2614000000003</v>
      </c>
      <c r="E29" s="8">
        <f>SUM($C28:E28)</f>
        <v>7141.8921000000009</v>
      </c>
      <c r="F29" s="8">
        <f>SUM($C28:F28)</f>
        <v>9522.5228000000006</v>
      </c>
      <c r="G29" s="8">
        <f>SUM($C28:G28)</f>
        <v>11903.1535</v>
      </c>
      <c r="H29" s="8">
        <f>SUM($C28:H28)</f>
        <v>14283.7842</v>
      </c>
      <c r="I29" s="8">
        <f>SUM($C28:I28)</f>
        <v>16664.4149</v>
      </c>
      <c r="J29" s="8">
        <f>SUM($C28:J28)</f>
        <v>19045.045600000001</v>
      </c>
      <c r="K29" s="8">
        <f>SUM($C28:K28)</f>
        <v>21425.676300000003</v>
      </c>
      <c r="L29" s="8">
        <f>SUM($C28:L28)</f>
        <v>23806.307000000004</v>
      </c>
      <c r="M29" s="8">
        <f>SUM($C28:M28)</f>
        <v>26186.937700000006</v>
      </c>
      <c r="N29" s="8">
        <f>SUM($C28:N28)</f>
        <v>28579.000000000004</v>
      </c>
    </row>
    <row r="30" spans="1:15" x14ac:dyDescent="0.25">
      <c r="B30" t="s">
        <v>166</v>
      </c>
      <c r="C30" s="62"/>
      <c r="D30" s="62"/>
      <c r="E30" s="62"/>
      <c r="F30" s="62"/>
      <c r="G30" s="62"/>
      <c r="H30" s="62"/>
      <c r="I30" s="62"/>
      <c r="J30" s="62"/>
      <c r="K30" s="62"/>
      <c r="L30" s="62"/>
      <c r="M30" s="62"/>
      <c r="N30" s="62"/>
    </row>
    <row r="31" spans="1:15" x14ac:dyDescent="0.25">
      <c r="A31" t="str">
        <f>'Monthly Income Worksheet'!A36</f>
        <v>Handling</v>
      </c>
      <c r="B31" t="s">
        <v>164</v>
      </c>
      <c r="C31" s="8">
        <f>'Monthly Income Worksheet'!C38*'Prior year summary'!$F45</f>
        <v>107.6236</v>
      </c>
      <c r="D31" s="8">
        <f>'Monthly Income Worksheet'!D38*'Prior year summary'!$F45</f>
        <v>107.6236</v>
      </c>
      <c r="E31" s="8">
        <f>'Monthly Income Worksheet'!E38*'Prior year summary'!$F45</f>
        <v>107.6236</v>
      </c>
      <c r="F31" s="8">
        <f>'Monthly Income Worksheet'!F38*'Prior year summary'!$F45</f>
        <v>107.6236</v>
      </c>
      <c r="G31" s="8">
        <f>'Monthly Income Worksheet'!G38*'Prior year summary'!$F45</f>
        <v>107.6236</v>
      </c>
      <c r="H31" s="8">
        <f>'Monthly Income Worksheet'!H38*'Prior year summary'!$F45</f>
        <v>107.6236</v>
      </c>
      <c r="I31" s="8">
        <f>'Monthly Income Worksheet'!I38*'Prior year summary'!$F45</f>
        <v>107.6236</v>
      </c>
      <c r="J31" s="8">
        <f>'Monthly Income Worksheet'!J38*'Prior year summary'!$F45</f>
        <v>107.6236</v>
      </c>
      <c r="K31" s="8">
        <f>'Monthly Income Worksheet'!K38*'Prior year summary'!$F45</f>
        <v>107.6236</v>
      </c>
      <c r="L31" s="8">
        <f>'Monthly Income Worksheet'!L38*'Prior year summary'!$F45</f>
        <v>107.6236</v>
      </c>
      <c r="M31" s="8">
        <f>'Monthly Income Worksheet'!M38*'Prior year summary'!$F45</f>
        <v>107.6236</v>
      </c>
      <c r="N31" s="8">
        <f>'Monthly Income Worksheet'!N38*'Prior year summary'!$F45</f>
        <v>108.14039999999986</v>
      </c>
      <c r="O31" s="8">
        <f>SUM(C31:N31)</f>
        <v>1291.9999999999995</v>
      </c>
    </row>
    <row r="32" spans="1:15" x14ac:dyDescent="0.25">
      <c r="B32" t="s">
        <v>165</v>
      </c>
      <c r="C32" s="8">
        <f>SUM($C31:C31)</f>
        <v>107.6236</v>
      </c>
      <c r="D32" s="8">
        <f>SUM($C31:D31)</f>
        <v>215.24719999999999</v>
      </c>
      <c r="E32" s="8">
        <f>SUM($C31:E31)</f>
        <v>322.87079999999997</v>
      </c>
      <c r="F32" s="8">
        <f>SUM($C31:F31)</f>
        <v>430.49439999999998</v>
      </c>
      <c r="G32" s="8">
        <f>SUM($C31:G31)</f>
        <v>538.11799999999994</v>
      </c>
      <c r="H32" s="8">
        <f>SUM($C31:H31)</f>
        <v>645.74159999999995</v>
      </c>
      <c r="I32" s="8">
        <f>SUM($C31:I31)</f>
        <v>753.36519999999996</v>
      </c>
      <c r="J32" s="8">
        <f>SUM($C31:J31)</f>
        <v>860.98879999999997</v>
      </c>
      <c r="K32" s="8">
        <f>SUM($C31:K31)</f>
        <v>968.61239999999998</v>
      </c>
      <c r="L32" s="8">
        <f>SUM($C31:L31)</f>
        <v>1076.2359999999999</v>
      </c>
      <c r="M32" s="8">
        <f>SUM($C31:M31)</f>
        <v>1183.8595999999998</v>
      </c>
      <c r="N32" s="8">
        <f>SUM($C31:N31)</f>
        <v>1291.9999999999995</v>
      </c>
    </row>
    <row r="33" spans="1:15" x14ac:dyDescent="0.25">
      <c r="B33" t="s">
        <v>166</v>
      </c>
      <c r="C33" s="62"/>
      <c r="D33" s="62"/>
      <c r="E33" s="62"/>
      <c r="F33" s="62"/>
      <c r="G33" s="62"/>
      <c r="H33" s="62"/>
      <c r="I33" s="62"/>
      <c r="J33" s="62"/>
      <c r="K33" s="62"/>
      <c r="L33" s="62"/>
      <c r="M33" s="62"/>
      <c r="N33" s="62"/>
    </row>
    <row r="34" spans="1:15" x14ac:dyDescent="0.25">
      <c r="A34" t="str">
        <f>'Monthly Income Worksheet'!A39</f>
        <v>Equip Rent</v>
      </c>
      <c r="B34" t="s">
        <v>164</v>
      </c>
      <c r="C34" s="8">
        <f>'Monthly Income Worksheet'!C41*'Prior year summary'!$F46</f>
        <v>8682.1923999999999</v>
      </c>
      <c r="D34" s="8">
        <f>'Monthly Income Worksheet'!D41*'Prior year summary'!$F46</f>
        <v>8682.1923999999999</v>
      </c>
      <c r="E34" s="8">
        <f>'Monthly Income Worksheet'!E41*'Prior year summary'!$F46</f>
        <v>8682.1923999999999</v>
      </c>
      <c r="F34" s="8">
        <f>'Monthly Income Worksheet'!F41*'Prior year summary'!$F46</f>
        <v>8682.1923999999999</v>
      </c>
      <c r="G34" s="8">
        <f>'Monthly Income Worksheet'!G41*'Prior year summary'!$F46</f>
        <v>8682.1923999999999</v>
      </c>
      <c r="H34" s="8">
        <f>'Monthly Income Worksheet'!H41*'Prior year summary'!$F46</f>
        <v>8682.1923999999999</v>
      </c>
      <c r="I34" s="8">
        <f>'Monthly Income Worksheet'!I41*'Prior year summary'!$F46</f>
        <v>8682.1923999999999</v>
      </c>
      <c r="J34" s="8">
        <f>'Monthly Income Worksheet'!J41*'Prior year summary'!$F46</f>
        <v>8682.1923999999999</v>
      </c>
      <c r="K34" s="8">
        <f>'Monthly Income Worksheet'!K41*'Prior year summary'!$F46</f>
        <v>8682.1923999999999</v>
      </c>
      <c r="L34" s="8">
        <f>'Monthly Income Worksheet'!L41*'Prior year summary'!$F46</f>
        <v>8682.1923999999999</v>
      </c>
      <c r="M34" s="8">
        <f>'Monthly Income Worksheet'!M41*'Prior year summary'!$F46</f>
        <v>8682.1923999999999</v>
      </c>
      <c r="N34" s="8">
        <f>'Monthly Income Worksheet'!N41*'Prior year summary'!$F46</f>
        <v>8723.8835999999883</v>
      </c>
      <c r="O34" s="8">
        <f>SUM(C34:N34)</f>
        <v>104227.99999999999</v>
      </c>
    </row>
    <row r="35" spans="1:15" x14ac:dyDescent="0.25">
      <c r="B35" t="s">
        <v>165</v>
      </c>
      <c r="C35" s="8">
        <f>SUM($C34:C34)</f>
        <v>8682.1923999999999</v>
      </c>
      <c r="D35" s="8">
        <f>SUM($C34:D34)</f>
        <v>17364.3848</v>
      </c>
      <c r="E35" s="8">
        <f>SUM($C34:E34)</f>
        <v>26046.5772</v>
      </c>
      <c r="F35" s="8">
        <f>SUM($C34:F34)</f>
        <v>34728.7696</v>
      </c>
      <c r="G35" s="8">
        <f>SUM($C34:G34)</f>
        <v>43410.962</v>
      </c>
      <c r="H35" s="8">
        <f>SUM($C34:H34)</f>
        <v>52093.154399999999</v>
      </c>
      <c r="I35" s="8">
        <f>SUM($C34:I34)</f>
        <v>60775.346799999999</v>
      </c>
      <c r="J35" s="8">
        <f>SUM($C34:J34)</f>
        <v>69457.539199999999</v>
      </c>
      <c r="K35" s="8">
        <f>SUM($C34:K34)</f>
        <v>78139.731599999999</v>
      </c>
      <c r="L35" s="8">
        <f>SUM($C34:L34)</f>
        <v>86821.923999999999</v>
      </c>
      <c r="M35" s="8">
        <f>SUM($C34:M34)</f>
        <v>95504.116399999999</v>
      </c>
      <c r="N35" s="8">
        <f>SUM($C34:N34)</f>
        <v>104227.99999999999</v>
      </c>
    </row>
    <row r="36" spans="1:15" x14ac:dyDescent="0.25">
      <c r="B36" t="s">
        <v>166</v>
      </c>
      <c r="C36" s="62"/>
      <c r="D36" s="62"/>
      <c r="E36" s="62"/>
      <c r="F36" s="62"/>
      <c r="G36" s="62"/>
      <c r="H36" s="62"/>
      <c r="I36" s="62"/>
      <c r="J36" s="62"/>
      <c r="K36" s="62"/>
      <c r="L36" s="62"/>
      <c r="M36" s="62"/>
      <c r="N36" s="62"/>
    </row>
    <row r="37" spans="1:15" x14ac:dyDescent="0.25">
      <c r="A37" t="str">
        <f>'Monthly Income Worksheet'!A42</f>
        <v>Interest</v>
      </c>
      <c r="B37" t="s">
        <v>164</v>
      </c>
      <c r="C37" s="8">
        <f>'Monthly Income Worksheet'!C44*'Prior year summary'!$F47</f>
        <v>4018.8917999999999</v>
      </c>
      <c r="D37" s="8">
        <f>'Monthly Income Worksheet'!D44*'Prior year summary'!$F47</f>
        <v>4018.8917999999999</v>
      </c>
      <c r="E37" s="8">
        <f>'Monthly Income Worksheet'!E44*'Prior year summary'!$F47</f>
        <v>4018.8917999999999</v>
      </c>
      <c r="F37" s="8">
        <f>'Monthly Income Worksheet'!F44*'Prior year summary'!$F47</f>
        <v>4018.8917999999999</v>
      </c>
      <c r="G37" s="8">
        <f>'Monthly Income Worksheet'!G44*'Prior year summary'!$F47</f>
        <v>4018.8917999999999</v>
      </c>
      <c r="H37" s="8">
        <f>'Monthly Income Worksheet'!H44*'Prior year summary'!$F47</f>
        <v>4018.8917999999999</v>
      </c>
      <c r="I37" s="8">
        <f>'Monthly Income Worksheet'!I44*'Prior year summary'!$F47</f>
        <v>4018.8917999999999</v>
      </c>
      <c r="J37" s="8">
        <f>'Monthly Income Worksheet'!J44*'Prior year summary'!$F47</f>
        <v>4018.8917999999999</v>
      </c>
      <c r="K37" s="8">
        <f>'Monthly Income Worksheet'!K44*'Prior year summary'!$F47</f>
        <v>4018.8917999999999</v>
      </c>
      <c r="L37" s="8">
        <f>'Monthly Income Worksheet'!L44*'Prior year summary'!$F47</f>
        <v>4018.8917999999999</v>
      </c>
      <c r="M37" s="8">
        <f>'Monthly Income Worksheet'!M44*'Prior year summary'!$F47</f>
        <v>4018.8917999999999</v>
      </c>
      <c r="N37" s="8">
        <f>'Monthly Income Worksheet'!N44*'Prior year summary'!$F47</f>
        <v>4038.1901999999945</v>
      </c>
      <c r="O37" s="8">
        <f>SUM(C37:N37)</f>
        <v>48245.999999999993</v>
      </c>
    </row>
    <row r="38" spans="1:15" x14ac:dyDescent="0.25">
      <c r="B38" t="s">
        <v>165</v>
      </c>
      <c r="C38" s="8">
        <f>SUM($C37:C37)</f>
        <v>4018.8917999999999</v>
      </c>
      <c r="D38" s="8">
        <f>SUM($C37:D37)</f>
        <v>8037.7835999999998</v>
      </c>
      <c r="E38" s="8">
        <f>SUM($C37:E37)</f>
        <v>12056.6754</v>
      </c>
      <c r="F38" s="8">
        <f>SUM($C37:F37)</f>
        <v>16075.5672</v>
      </c>
      <c r="G38" s="8">
        <f>SUM($C37:G37)</f>
        <v>20094.458999999999</v>
      </c>
      <c r="H38" s="8">
        <f>SUM($C37:H37)</f>
        <v>24113.3508</v>
      </c>
      <c r="I38" s="8">
        <f>SUM($C37:I37)</f>
        <v>28132.242600000001</v>
      </c>
      <c r="J38" s="8">
        <f>SUM($C37:J37)</f>
        <v>32151.134400000003</v>
      </c>
      <c r="K38" s="8">
        <f>SUM($C37:K37)</f>
        <v>36170.0262</v>
      </c>
      <c r="L38" s="8">
        <f>SUM($C37:L37)</f>
        <v>40188.917999999998</v>
      </c>
      <c r="M38" s="8">
        <f>SUM($C37:M37)</f>
        <v>44207.809799999995</v>
      </c>
      <c r="N38" s="8">
        <f>SUM($C37:N37)</f>
        <v>48245.999999999993</v>
      </c>
    </row>
    <row r="39" spans="1:15" x14ac:dyDescent="0.25">
      <c r="B39" t="s">
        <v>166</v>
      </c>
      <c r="C39" s="62"/>
      <c r="D39" s="62"/>
      <c r="E39" s="62"/>
      <c r="F39" s="62"/>
      <c r="G39" s="62"/>
      <c r="H39" s="62"/>
      <c r="I39" s="62"/>
      <c r="J39" s="62"/>
      <c r="K39" s="62"/>
      <c r="L39" s="62"/>
      <c r="M39" s="62"/>
      <c r="N39" s="62"/>
    </row>
    <row r="40" spans="1:15" x14ac:dyDescent="0.25">
      <c r="A40" t="str">
        <f>'Monthly Income Worksheet'!A45</f>
        <v>Life ins value</v>
      </c>
      <c r="B40" t="s">
        <v>164</v>
      </c>
      <c r="C40" s="8">
        <f>'Monthly Income Worksheet'!C47*'Prior year summary'!$F48</f>
        <v>2331.9002</v>
      </c>
      <c r="D40" s="8">
        <f>'Monthly Income Worksheet'!D47*'Prior year summary'!$F48</f>
        <v>2331.9002</v>
      </c>
      <c r="E40" s="8">
        <f>'Monthly Income Worksheet'!E47*'Prior year summary'!$F48</f>
        <v>2331.9002</v>
      </c>
      <c r="F40" s="8">
        <f>'Monthly Income Worksheet'!F47*'Prior year summary'!$F48</f>
        <v>2331.9002</v>
      </c>
      <c r="G40" s="8">
        <f>'Monthly Income Worksheet'!G47*'Prior year summary'!$F48</f>
        <v>2331.9002</v>
      </c>
      <c r="H40" s="8">
        <f>'Monthly Income Worksheet'!H47*'Prior year summary'!$F48</f>
        <v>2331.9002</v>
      </c>
      <c r="I40" s="8">
        <f>'Monthly Income Worksheet'!I47*'Prior year summary'!$F48</f>
        <v>2331.9002</v>
      </c>
      <c r="J40" s="8">
        <f>'Monthly Income Worksheet'!J47*'Prior year summary'!$F48</f>
        <v>2331.9002</v>
      </c>
      <c r="K40" s="8">
        <f>'Monthly Income Worksheet'!K47*'Prior year summary'!$F48</f>
        <v>2331.9002</v>
      </c>
      <c r="L40" s="8">
        <f>'Monthly Income Worksheet'!L47*'Prior year summary'!$F48</f>
        <v>2331.9002</v>
      </c>
      <c r="M40" s="8">
        <f>'Monthly Income Worksheet'!M47*'Prior year summary'!$F48</f>
        <v>2331.9002</v>
      </c>
      <c r="N40" s="8">
        <f>'Monthly Income Worksheet'!N47*'Prior year summary'!$F48</f>
        <v>2343.0977999999968</v>
      </c>
      <c r="O40" s="8">
        <f>SUM(C40:N40)</f>
        <v>27993.999999999996</v>
      </c>
    </row>
    <row r="41" spans="1:15" x14ac:dyDescent="0.25">
      <c r="B41" t="s">
        <v>165</v>
      </c>
      <c r="C41" s="8">
        <f>SUM($C40:C40)</f>
        <v>2331.9002</v>
      </c>
      <c r="D41" s="8">
        <f>SUM($C40:D40)</f>
        <v>4663.8004000000001</v>
      </c>
      <c r="E41" s="8">
        <f>SUM($C40:E40)</f>
        <v>6995.7006000000001</v>
      </c>
      <c r="F41" s="8">
        <f>SUM($C40:F40)</f>
        <v>9327.6008000000002</v>
      </c>
      <c r="G41" s="8">
        <f>SUM($C40:G40)</f>
        <v>11659.501</v>
      </c>
      <c r="H41" s="8">
        <f>SUM($C40:H40)</f>
        <v>13991.4012</v>
      </c>
      <c r="I41" s="8">
        <f>SUM($C40:I40)</f>
        <v>16323.3014</v>
      </c>
      <c r="J41" s="8">
        <f>SUM($C40:J40)</f>
        <v>18655.2016</v>
      </c>
      <c r="K41" s="8">
        <f>SUM($C40:K40)</f>
        <v>20987.1018</v>
      </c>
      <c r="L41" s="8">
        <f>SUM($C40:L40)</f>
        <v>23319.002</v>
      </c>
      <c r="M41" s="8">
        <f>SUM($C40:M40)</f>
        <v>25650.9022</v>
      </c>
      <c r="N41" s="8">
        <f>SUM($C40:N40)</f>
        <v>27993.999999999996</v>
      </c>
    </row>
    <row r="42" spans="1:15" x14ac:dyDescent="0.25">
      <c r="B42" t="s">
        <v>166</v>
      </c>
      <c r="C42" s="62"/>
      <c r="D42" s="62"/>
      <c r="E42" s="62"/>
      <c r="F42" s="62"/>
      <c r="G42" s="62"/>
      <c r="H42" s="62"/>
      <c r="I42" s="62"/>
      <c r="J42" s="62"/>
      <c r="K42" s="62"/>
      <c r="L42" s="62"/>
      <c r="M42" s="62"/>
      <c r="N42" s="62"/>
    </row>
    <row r="43" spans="1:15" x14ac:dyDescent="0.25">
      <c r="A43" t="str">
        <f>'Monthly Income Worksheet'!A48</f>
        <v>Application</v>
      </c>
      <c r="B43" t="s">
        <v>164</v>
      </c>
      <c r="C43" s="8">
        <f>'Monthly Income Worksheet'!C50*'Prior year summary'!$F49</f>
        <v>94024.1253</v>
      </c>
      <c r="D43" s="8">
        <f>'Monthly Income Worksheet'!D50*'Prior year summary'!$F49</f>
        <v>94024.1253</v>
      </c>
      <c r="E43" s="8">
        <f>'Monthly Income Worksheet'!E50*'Prior year summary'!$F49</f>
        <v>94024.1253</v>
      </c>
      <c r="F43" s="8">
        <f>'Monthly Income Worksheet'!F50*'Prior year summary'!$F49</f>
        <v>94024.1253</v>
      </c>
      <c r="G43" s="8">
        <f>'Monthly Income Worksheet'!G50*'Prior year summary'!$F49</f>
        <v>94024.1253</v>
      </c>
      <c r="H43" s="8">
        <f>'Monthly Income Worksheet'!H50*'Prior year summary'!$F49</f>
        <v>94024.1253</v>
      </c>
      <c r="I43" s="8">
        <f>'Monthly Income Worksheet'!I50*'Prior year summary'!$F49</f>
        <v>94024.1253</v>
      </c>
      <c r="J43" s="8">
        <f>'Monthly Income Worksheet'!J50*'Prior year summary'!$F49</f>
        <v>94024.1253</v>
      </c>
      <c r="K43" s="8">
        <f>'Monthly Income Worksheet'!K50*'Prior year summary'!$F49</f>
        <v>94024.1253</v>
      </c>
      <c r="L43" s="8">
        <f>'Monthly Income Worksheet'!L50*'Prior year summary'!$F49</f>
        <v>94024.1253</v>
      </c>
      <c r="M43" s="8">
        <f>'Monthly Income Worksheet'!M50*'Prior year summary'!$F49</f>
        <v>94024.1253</v>
      </c>
      <c r="N43" s="8">
        <f>'Monthly Income Worksheet'!N50*'Prior year summary'!$F49</f>
        <v>94475.621699999872</v>
      </c>
      <c r="O43" s="8">
        <f>SUM(C43:N43)</f>
        <v>1128740.9999999995</v>
      </c>
    </row>
    <row r="44" spans="1:15" x14ac:dyDescent="0.25">
      <c r="B44" t="s">
        <v>165</v>
      </c>
      <c r="C44" s="8">
        <f>SUM($C43:C43)</f>
        <v>94024.1253</v>
      </c>
      <c r="D44" s="8">
        <f>SUM($C43:D43)</f>
        <v>188048.2506</v>
      </c>
      <c r="E44" s="8">
        <f>SUM($C43:E43)</f>
        <v>282072.37589999998</v>
      </c>
      <c r="F44" s="8">
        <f>SUM($C43:F43)</f>
        <v>376096.5012</v>
      </c>
      <c r="G44" s="8">
        <f>SUM($C43:G43)</f>
        <v>470120.62650000001</v>
      </c>
      <c r="H44" s="8">
        <f>SUM($C43:H43)</f>
        <v>564144.75179999997</v>
      </c>
      <c r="I44" s="8">
        <f>SUM($C43:I43)</f>
        <v>658168.87709999993</v>
      </c>
      <c r="J44" s="8">
        <f>SUM($C43:J43)</f>
        <v>752193.00239999988</v>
      </c>
      <c r="K44" s="8">
        <f>SUM($C43:K43)</f>
        <v>846217.12769999984</v>
      </c>
      <c r="L44" s="8">
        <f>SUM($C43:L43)</f>
        <v>940241.25299999979</v>
      </c>
      <c r="M44" s="8">
        <f>SUM($C43:M43)</f>
        <v>1034265.3782999997</v>
      </c>
      <c r="N44" s="8">
        <f>SUM($C43:N43)</f>
        <v>1128740.9999999995</v>
      </c>
    </row>
    <row r="45" spans="1:15" x14ac:dyDescent="0.25">
      <c r="B45" t="s">
        <v>166</v>
      </c>
      <c r="C45" s="62"/>
      <c r="D45" s="62"/>
      <c r="E45" s="62"/>
      <c r="F45" s="62"/>
      <c r="G45" s="62"/>
      <c r="H45" s="62"/>
      <c r="I45" s="62"/>
      <c r="J45" s="62"/>
      <c r="K45" s="62"/>
      <c r="L45" s="62"/>
      <c r="M45" s="62"/>
      <c r="N45" s="62"/>
    </row>
    <row r="46" spans="1:15" x14ac:dyDescent="0.25">
      <c r="A46" t="str">
        <f>'Monthly Income Worksheet'!A51</f>
        <v>Asset sales</v>
      </c>
      <c r="B46" t="s">
        <v>164</v>
      </c>
      <c r="C46" s="8">
        <f>'Monthly Income Worksheet'!C53*'Prior year summary'!$F50</f>
        <v>3346.4108999999999</v>
      </c>
      <c r="D46" s="8">
        <f>'Monthly Income Worksheet'!D53*'Prior year summary'!$F50</f>
        <v>3346.4108999999999</v>
      </c>
      <c r="E46" s="8">
        <f>'Monthly Income Worksheet'!E53*'Prior year summary'!$F50</f>
        <v>3346.4108999999999</v>
      </c>
      <c r="F46" s="8">
        <f>'Monthly Income Worksheet'!F53*'Prior year summary'!$F50</f>
        <v>3346.4108999999999</v>
      </c>
      <c r="G46" s="8">
        <f>'Monthly Income Worksheet'!G53*'Prior year summary'!$F50</f>
        <v>3346.4108999999999</v>
      </c>
      <c r="H46" s="8">
        <f>'Monthly Income Worksheet'!H53*'Prior year summary'!$F50</f>
        <v>3346.4108999999999</v>
      </c>
      <c r="I46" s="8">
        <f>'Monthly Income Worksheet'!I53*'Prior year summary'!$F50</f>
        <v>3346.4108999999999</v>
      </c>
      <c r="J46" s="8">
        <f>'Monthly Income Worksheet'!J53*'Prior year summary'!$F50</f>
        <v>3346.4108999999999</v>
      </c>
      <c r="K46" s="8">
        <f>'Monthly Income Worksheet'!K53*'Prior year summary'!$F50</f>
        <v>3346.4108999999999</v>
      </c>
      <c r="L46" s="8">
        <f>'Monthly Income Worksheet'!L53*'Prior year summary'!$F50</f>
        <v>3346.4108999999999</v>
      </c>
      <c r="M46" s="8">
        <f>'Monthly Income Worksheet'!M53*'Prior year summary'!$F50</f>
        <v>3346.4108999999999</v>
      </c>
      <c r="N46" s="8">
        <f>'Monthly Income Worksheet'!N53*'Prior year summary'!$F50</f>
        <v>3362.4800999999952</v>
      </c>
      <c r="O46" s="8">
        <f>SUM(C46:N46)</f>
        <v>40172.999999999993</v>
      </c>
    </row>
    <row r="47" spans="1:15" x14ac:dyDescent="0.25">
      <c r="B47" t="s">
        <v>165</v>
      </c>
      <c r="C47" s="8">
        <f>SUM($C46:C46)</f>
        <v>3346.4108999999999</v>
      </c>
      <c r="D47" s="8">
        <f>SUM($C46:D46)</f>
        <v>6692.8217999999997</v>
      </c>
      <c r="E47" s="8">
        <f>SUM($C46:E46)</f>
        <v>10039.2327</v>
      </c>
      <c r="F47" s="8">
        <f>SUM($C46:F46)</f>
        <v>13385.643599999999</v>
      </c>
      <c r="G47" s="8">
        <f>SUM($C46:G46)</f>
        <v>16732.054499999998</v>
      </c>
      <c r="H47" s="8">
        <f>SUM($C46:H46)</f>
        <v>20078.465399999997</v>
      </c>
      <c r="I47" s="8">
        <f>SUM($C46:I46)</f>
        <v>23424.876299999996</v>
      </c>
      <c r="J47" s="8">
        <f>SUM($C46:J46)</f>
        <v>26771.287199999995</v>
      </c>
      <c r="K47" s="8">
        <f>SUM($C46:K46)</f>
        <v>30117.698099999994</v>
      </c>
      <c r="L47" s="8">
        <f>SUM($C46:L46)</f>
        <v>33464.108999999997</v>
      </c>
      <c r="M47" s="8">
        <f>SUM($C46:M46)</f>
        <v>36810.519899999999</v>
      </c>
      <c r="N47" s="8">
        <f>SUM($C46:N46)</f>
        <v>40172.999999999993</v>
      </c>
    </row>
    <row r="48" spans="1:15" x14ac:dyDescent="0.25">
      <c r="B48" t="s">
        <v>166</v>
      </c>
      <c r="C48" s="62"/>
      <c r="D48" s="62"/>
      <c r="E48" s="62"/>
      <c r="F48" s="62"/>
      <c r="G48" s="62"/>
      <c r="H48" s="62"/>
      <c r="I48" s="62"/>
      <c r="J48" s="62"/>
      <c r="K48" s="62"/>
      <c r="L48" s="62"/>
      <c r="M48" s="62"/>
      <c r="N48" s="62"/>
    </row>
    <row r="49" spans="1:15" x14ac:dyDescent="0.25">
      <c r="A49" t="str">
        <f>'Monthly Income Worksheet'!A54</f>
        <v>LLC</v>
      </c>
      <c r="B49" t="s">
        <v>164</v>
      </c>
      <c r="C49" s="8">
        <f>'Monthly Income Worksheet'!C56*'Prior year summary'!$F51</f>
        <v>67483.079299999998</v>
      </c>
      <c r="D49" s="8">
        <f>'Monthly Income Worksheet'!D56*'Prior year summary'!$F51</f>
        <v>67483.079299999998</v>
      </c>
      <c r="E49" s="8">
        <f>'Monthly Income Worksheet'!E56*'Prior year summary'!$F51</f>
        <v>67483.079299999998</v>
      </c>
      <c r="F49" s="8">
        <f>'Monthly Income Worksheet'!F56*'Prior year summary'!$F51</f>
        <v>67483.079299999998</v>
      </c>
      <c r="G49" s="8">
        <f>'Monthly Income Worksheet'!G56*'Prior year summary'!$F51</f>
        <v>67483.079299999998</v>
      </c>
      <c r="H49" s="8">
        <f>'Monthly Income Worksheet'!H56*'Prior year summary'!$F51</f>
        <v>67483.079299999998</v>
      </c>
      <c r="I49" s="8">
        <f>'Monthly Income Worksheet'!I56*'Prior year summary'!$F51</f>
        <v>67483.079299999998</v>
      </c>
      <c r="J49" s="8">
        <f>'Monthly Income Worksheet'!J56*'Prior year summary'!$F51</f>
        <v>67483.079299999998</v>
      </c>
      <c r="K49" s="8">
        <f>'Monthly Income Worksheet'!K56*'Prior year summary'!$F51</f>
        <v>67483.079299999998</v>
      </c>
      <c r="L49" s="8">
        <f>'Monthly Income Worksheet'!L56*'Prior year summary'!$F51</f>
        <v>67483.079299999998</v>
      </c>
      <c r="M49" s="8">
        <f>'Monthly Income Worksheet'!M56*'Prior year summary'!$F51</f>
        <v>67483.079299999998</v>
      </c>
      <c r="N49" s="8">
        <f>'Monthly Income Worksheet'!N56*'Prior year summary'!$F51</f>
        <v>67807.12769999991</v>
      </c>
      <c r="O49" s="8">
        <f>SUM(C49:N49)</f>
        <v>810120.99999999988</v>
      </c>
    </row>
    <row r="50" spans="1:15" x14ac:dyDescent="0.25">
      <c r="B50" t="s">
        <v>165</v>
      </c>
      <c r="C50" s="8">
        <f>SUM($C49:C49)</f>
        <v>67483.079299999998</v>
      </c>
      <c r="D50" s="8">
        <f>SUM($C49:D49)</f>
        <v>134966.1586</v>
      </c>
      <c r="E50" s="8">
        <f>SUM($C49:E49)</f>
        <v>202449.23790000001</v>
      </c>
      <c r="F50" s="8">
        <f>SUM($C49:F49)</f>
        <v>269932.31719999999</v>
      </c>
      <c r="G50" s="8">
        <f>SUM($C49:G49)</f>
        <v>337415.39649999997</v>
      </c>
      <c r="H50" s="8">
        <f>SUM($C49:H49)</f>
        <v>404898.47579999996</v>
      </c>
      <c r="I50" s="8">
        <f>SUM($C49:I49)</f>
        <v>472381.55509999994</v>
      </c>
      <c r="J50" s="8">
        <f>SUM($C49:J49)</f>
        <v>539864.63439999998</v>
      </c>
      <c r="K50" s="8">
        <f>SUM($C49:K49)</f>
        <v>607347.71369999996</v>
      </c>
      <c r="L50" s="8">
        <f>SUM($C49:L49)</f>
        <v>674830.79299999995</v>
      </c>
      <c r="M50" s="8">
        <f>SUM($C49:M49)</f>
        <v>742313.87229999993</v>
      </c>
      <c r="N50" s="8">
        <f>SUM($C49:N49)</f>
        <v>810120.99999999988</v>
      </c>
    </row>
    <row r="51" spans="1:15" x14ac:dyDescent="0.25">
      <c r="B51" t="s">
        <v>166</v>
      </c>
      <c r="C51" s="62"/>
      <c r="D51" s="62"/>
      <c r="E51" s="62"/>
      <c r="F51" s="62"/>
      <c r="G51" s="62"/>
      <c r="H51" s="62"/>
      <c r="I51" s="62"/>
      <c r="J51" s="62"/>
      <c r="K51" s="62"/>
      <c r="L51" s="62"/>
      <c r="M51" s="62"/>
      <c r="N51" s="62"/>
    </row>
    <row r="52" spans="1:15" x14ac:dyDescent="0.25">
      <c r="A52" t="str">
        <f>'Monthly Income Worksheet'!A57</f>
        <v>EMA grain</v>
      </c>
      <c r="B52" t="s">
        <v>164</v>
      </c>
      <c r="C52" s="8">
        <f>'Monthly Income Worksheet'!C59*'Prior year summary'!$F52</f>
        <v>0</v>
      </c>
      <c r="D52" s="8">
        <f>'Monthly Income Worksheet'!D59*'Prior year summary'!$F52</f>
        <v>0</v>
      </c>
      <c r="E52" s="8">
        <f>'Monthly Income Worksheet'!E59*'Prior year summary'!$F52</f>
        <v>0</v>
      </c>
      <c r="F52" s="8">
        <f>'Monthly Income Worksheet'!F59*'Prior year summary'!$F52</f>
        <v>0</v>
      </c>
      <c r="G52" s="8">
        <f>'Monthly Income Worksheet'!G59*'Prior year summary'!$F52</f>
        <v>0</v>
      </c>
      <c r="H52" s="8">
        <f>'Monthly Income Worksheet'!H59*'Prior year summary'!$F52</f>
        <v>0</v>
      </c>
      <c r="I52" s="8">
        <f>'Monthly Income Worksheet'!I59*'Prior year summary'!$F52</f>
        <v>0</v>
      </c>
      <c r="J52" s="8">
        <f>'Monthly Income Worksheet'!J59*'Prior year summary'!$F52</f>
        <v>0</v>
      </c>
      <c r="K52" s="8">
        <f>'Monthly Income Worksheet'!K59*'Prior year summary'!$F52</f>
        <v>0</v>
      </c>
      <c r="L52" s="8">
        <f>'Monthly Income Worksheet'!L59*'Prior year summary'!$F52</f>
        <v>0</v>
      </c>
      <c r="M52" s="8">
        <f>'Monthly Income Worksheet'!M59*'Prior year summary'!$F52</f>
        <v>0</v>
      </c>
      <c r="N52" s="8">
        <f>'Monthly Income Worksheet'!N59*'Prior year summary'!$F52</f>
        <v>0</v>
      </c>
      <c r="O52" s="8">
        <f>SUM(C52:N52)</f>
        <v>0</v>
      </c>
    </row>
    <row r="53" spans="1:15" x14ac:dyDescent="0.25">
      <c r="B53" t="s">
        <v>165</v>
      </c>
      <c r="C53" s="8">
        <f>SUM($C52:C52)</f>
        <v>0</v>
      </c>
      <c r="D53" s="8">
        <f>SUM($C52:D52)</f>
        <v>0</v>
      </c>
      <c r="E53" s="8">
        <f>SUM($C52:E52)</f>
        <v>0</v>
      </c>
      <c r="F53" s="8">
        <f>SUM($C52:F52)</f>
        <v>0</v>
      </c>
      <c r="G53" s="8">
        <f>SUM($C52:G52)</f>
        <v>0</v>
      </c>
      <c r="H53" s="8">
        <f>SUM($C52:H52)</f>
        <v>0</v>
      </c>
      <c r="I53" s="8">
        <f>SUM($C52:I52)</f>
        <v>0</v>
      </c>
      <c r="J53" s="8">
        <f>SUM($C52:J52)</f>
        <v>0</v>
      </c>
      <c r="K53" s="8">
        <f>SUM($C52:K52)</f>
        <v>0</v>
      </c>
      <c r="L53" s="8">
        <f>SUM($C52:L52)</f>
        <v>0</v>
      </c>
      <c r="M53" s="8">
        <f>SUM($C52:M52)</f>
        <v>0</v>
      </c>
      <c r="N53" s="8">
        <f>SUM($C52:N52)</f>
        <v>0</v>
      </c>
    </row>
    <row r="54" spans="1:15" x14ac:dyDescent="0.25">
      <c r="B54" t="s">
        <v>166</v>
      </c>
      <c r="C54" s="62"/>
      <c r="D54" s="62"/>
      <c r="E54" s="62"/>
      <c r="F54" s="62"/>
      <c r="G54" s="62"/>
      <c r="H54" s="62"/>
      <c r="I54" s="62"/>
      <c r="J54" s="62"/>
      <c r="K54" s="62"/>
      <c r="L54" s="62"/>
      <c r="M54" s="62"/>
      <c r="N54" s="62"/>
    </row>
    <row r="55" spans="1:15" x14ac:dyDescent="0.25">
      <c r="A55" t="str">
        <f>'Monthly Income Worksheet'!A60</f>
        <v>Freight</v>
      </c>
      <c r="B55" t="s">
        <v>164</v>
      </c>
      <c r="C55" s="8">
        <f>'Monthly Income Worksheet'!C62*'Prior year summary'!$F53</f>
        <v>8535.7510000000002</v>
      </c>
      <c r="D55" s="8">
        <f>'Monthly Income Worksheet'!D62*'Prior year summary'!$F53</f>
        <v>8535.7510000000002</v>
      </c>
      <c r="E55" s="8">
        <f>'Monthly Income Worksheet'!E62*'Prior year summary'!$F53</f>
        <v>8535.7510000000002</v>
      </c>
      <c r="F55" s="8">
        <f>'Monthly Income Worksheet'!F62*'Prior year summary'!$F53</f>
        <v>8535.7510000000002</v>
      </c>
      <c r="G55" s="8">
        <f>'Monthly Income Worksheet'!G62*'Prior year summary'!$F53</f>
        <v>8535.7510000000002</v>
      </c>
      <c r="H55" s="8">
        <f>'Monthly Income Worksheet'!H62*'Prior year summary'!$F53</f>
        <v>8535.7510000000002</v>
      </c>
      <c r="I55" s="8">
        <f>'Monthly Income Worksheet'!I62*'Prior year summary'!$F53</f>
        <v>8535.7510000000002</v>
      </c>
      <c r="J55" s="8">
        <f>'Monthly Income Worksheet'!J62*'Prior year summary'!$F53</f>
        <v>8535.7510000000002</v>
      </c>
      <c r="K55" s="8">
        <f>'Monthly Income Worksheet'!K62*'Prior year summary'!$F53</f>
        <v>8535.7510000000002</v>
      </c>
      <c r="L55" s="8">
        <f>'Monthly Income Worksheet'!L62*'Prior year summary'!$F53</f>
        <v>8535.7510000000002</v>
      </c>
      <c r="M55" s="8">
        <f>'Monthly Income Worksheet'!M62*'Prior year summary'!$F53</f>
        <v>8535.7510000000002</v>
      </c>
      <c r="N55" s="8">
        <f>'Monthly Income Worksheet'!N62*'Prior year summary'!$F53</f>
        <v>8576.7389999999887</v>
      </c>
      <c r="O55" s="8">
        <f>SUM(C55:N55)</f>
        <v>102470.00000000001</v>
      </c>
    </row>
    <row r="56" spans="1:15" x14ac:dyDescent="0.25">
      <c r="B56" t="s">
        <v>165</v>
      </c>
      <c r="C56" s="8">
        <f>SUM($C55:C55)</f>
        <v>8535.7510000000002</v>
      </c>
      <c r="D56" s="8">
        <f>SUM($C55:D55)</f>
        <v>17071.502</v>
      </c>
      <c r="E56" s="8">
        <f>SUM($C55:E55)</f>
        <v>25607.253000000001</v>
      </c>
      <c r="F56" s="8">
        <f>SUM($C55:F55)</f>
        <v>34143.004000000001</v>
      </c>
      <c r="G56" s="8">
        <f>SUM($C55:G55)</f>
        <v>42678.755000000005</v>
      </c>
      <c r="H56" s="8">
        <f>SUM($C55:H55)</f>
        <v>51214.506000000008</v>
      </c>
      <c r="I56" s="8">
        <f>SUM($C55:I55)</f>
        <v>59750.257000000012</v>
      </c>
      <c r="J56" s="8">
        <f>SUM($C55:J55)</f>
        <v>68286.008000000016</v>
      </c>
      <c r="K56" s="8">
        <f>SUM($C55:K55)</f>
        <v>76821.75900000002</v>
      </c>
      <c r="L56" s="8">
        <f>SUM($C55:L55)</f>
        <v>85357.510000000024</v>
      </c>
      <c r="M56" s="8">
        <f>SUM($C55:M55)</f>
        <v>93893.261000000028</v>
      </c>
      <c r="N56" s="8">
        <f>SUM($C55:N55)</f>
        <v>102470.00000000001</v>
      </c>
    </row>
    <row r="57" spans="1:15" x14ac:dyDescent="0.25">
      <c r="B57" t="s">
        <v>166</v>
      </c>
      <c r="C57" s="62"/>
      <c r="D57" s="62"/>
      <c r="E57" s="62"/>
      <c r="F57" s="62"/>
      <c r="G57" s="62"/>
      <c r="H57" s="62"/>
      <c r="I57" s="62"/>
      <c r="J57" s="62"/>
      <c r="K57" s="62"/>
      <c r="L57" s="62"/>
      <c r="M57" s="62"/>
      <c r="N57" s="62"/>
    </row>
    <row r="58" spans="1:15" x14ac:dyDescent="0.25">
      <c r="A58" t="str">
        <f>'Monthly Income Worksheet'!A63</f>
        <v>Finance charge</v>
      </c>
      <c r="B58" t="s">
        <v>164</v>
      </c>
      <c r="C58" s="8">
        <f>'Monthly Income Worksheet'!C65*'Prior year summary'!$F54</f>
        <v>14644.639799999999</v>
      </c>
      <c r="D58" s="8">
        <f>'Monthly Income Worksheet'!D65*'Prior year summary'!$F54</f>
        <v>14644.639799999999</v>
      </c>
      <c r="E58" s="8">
        <f>'Monthly Income Worksheet'!E65*'Prior year summary'!$F54</f>
        <v>14644.639799999999</v>
      </c>
      <c r="F58" s="8">
        <f>'Monthly Income Worksheet'!F65*'Prior year summary'!$F54</f>
        <v>14644.639799999999</v>
      </c>
      <c r="G58" s="8">
        <f>'Monthly Income Worksheet'!G65*'Prior year summary'!$F54</f>
        <v>14644.639799999999</v>
      </c>
      <c r="H58" s="8">
        <f>'Monthly Income Worksheet'!H65*'Prior year summary'!$F54</f>
        <v>14644.639799999999</v>
      </c>
      <c r="I58" s="8">
        <f>'Monthly Income Worksheet'!I65*'Prior year summary'!$F54</f>
        <v>14644.639799999999</v>
      </c>
      <c r="J58" s="8">
        <f>'Monthly Income Worksheet'!J65*'Prior year summary'!$F54</f>
        <v>14644.639799999999</v>
      </c>
      <c r="K58" s="8">
        <f>'Monthly Income Worksheet'!K65*'Prior year summary'!$F54</f>
        <v>14644.639799999999</v>
      </c>
      <c r="L58" s="8">
        <f>'Monthly Income Worksheet'!L65*'Prior year summary'!$F54</f>
        <v>14644.639799999999</v>
      </c>
      <c r="M58" s="8">
        <f>'Monthly Income Worksheet'!M65*'Prior year summary'!$F54</f>
        <v>14644.639799999999</v>
      </c>
      <c r="N58" s="8">
        <f>'Monthly Income Worksheet'!N65*'Prior year summary'!$F54</f>
        <v>14714.96219999998</v>
      </c>
      <c r="O58" s="8">
        <f>SUM(C58:N58)</f>
        <v>175806</v>
      </c>
    </row>
    <row r="59" spans="1:15" x14ac:dyDescent="0.25">
      <c r="B59" t="s">
        <v>165</v>
      </c>
      <c r="C59" s="8">
        <f>SUM($C58:C58)</f>
        <v>14644.639799999999</v>
      </c>
      <c r="D59" s="8">
        <f>SUM($C58:D58)</f>
        <v>29289.279599999998</v>
      </c>
      <c r="E59" s="8">
        <f>SUM($C58:E58)</f>
        <v>43933.919399999999</v>
      </c>
      <c r="F59" s="8">
        <f>SUM($C58:F58)</f>
        <v>58578.559199999996</v>
      </c>
      <c r="G59" s="8">
        <f>SUM($C58:G58)</f>
        <v>73223.198999999993</v>
      </c>
      <c r="H59" s="8">
        <f>SUM($C58:H58)</f>
        <v>87867.838799999998</v>
      </c>
      <c r="I59" s="8">
        <f>SUM($C58:I58)</f>
        <v>102512.4786</v>
      </c>
      <c r="J59" s="8">
        <f>SUM($C58:J58)</f>
        <v>117157.11840000001</v>
      </c>
      <c r="K59" s="8">
        <f>SUM($C58:K58)</f>
        <v>131801.75820000001</v>
      </c>
      <c r="L59" s="8">
        <f>SUM($C58:L58)</f>
        <v>146446.39800000002</v>
      </c>
      <c r="M59" s="8">
        <f>SUM($C58:M58)</f>
        <v>161091.03780000002</v>
      </c>
      <c r="N59" s="8">
        <f>SUM($C58:N58)</f>
        <v>175806</v>
      </c>
    </row>
    <row r="60" spans="1:15" x14ac:dyDescent="0.25">
      <c r="B60" t="s">
        <v>166</v>
      </c>
      <c r="C60" s="62"/>
      <c r="D60" s="62"/>
      <c r="E60" s="62"/>
      <c r="F60" s="62"/>
      <c r="G60" s="62"/>
      <c r="H60" s="62"/>
      <c r="I60" s="62"/>
      <c r="J60" s="62"/>
      <c r="K60" s="62"/>
      <c r="L60" s="62"/>
      <c r="M60" s="62"/>
      <c r="N60" s="62"/>
    </row>
    <row r="61" spans="1:15" x14ac:dyDescent="0.25">
      <c r="A61" t="str">
        <f>'Monthly Income Worksheet'!A66</f>
        <v>Rental</v>
      </c>
      <c r="B61" t="s">
        <v>164</v>
      </c>
      <c r="C61" s="8">
        <f>'Monthly Income Worksheet'!C68*'Prior year summary'!$F55</f>
        <v>778.85500000000002</v>
      </c>
      <c r="D61" s="8">
        <f>'Monthly Income Worksheet'!D68*'Prior year summary'!$F55</f>
        <v>778.85500000000002</v>
      </c>
      <c r="E61" s="8">
        <f>'Monthly Income Worksheet'!E68*'Prior year summary'!$F55</f>
        <v>778.85500000000002</v>
      </c>
      <c r="F61" s="8">
        <f>'Monthly Income Worksheet'!F68*'Prior year summary'!$F55</f>
        <v>778.85500000000002</v>
      </c>
      <c r="G61" s="8">
        <f>'Monthly Income Worksheet'!G68*'Prior year summary'!$F55</f>
        <v>778.85500000000002</v>
      </c>
      <c r="H61" s="8">
        <f>'Monthly Income Worksheet'!H68*'Prior year summary'!$F55</f>
        <v>778.85500000000002</v>
      </c>
      <c r="I61" s="8">
        <f>'Monthly Income Worksheet'!I68*'Prior year summary'!$F55</f>
        <v>778.85500000000002</v>
      </c>
      <c r="J61" s="8">
        <f>'Monthly Income Worksheet'!J68*'Prior year summary'!$F55</f>
        <v>778.85500000000002</v>
      </c>
      <c r="K61" s="8">
        <f>'Monthly Income Worksheet'!K68*'Prior year summary'!$F55</f>
        <v>778.85500000000002</v>
      </c>
      <c r="L61" s="8">
        <f>'Monthly Income Worksheet'!L68*'Prior year summary'!$F55</f>
        <v>778.85500000000002</v>
      </c>
      <c r="M61" s="8">
        <f>'Monthly Income Worksheet'!M68*'Prior year summary'!$F55</f>
        <v>778.85500000000002</v>
      </c>
      <c r="N61" s="8">
        <f>'Monthly Income Worksheet'!N68*'Prior year summary'!$F55</f>
        <v>782.59499999999889</v>
      </c>
      <c r="O61" s="8">
        <f>SUM(C61:N61)</f>
        <v>9349.9999999999982</v>
      </c>
    </row>
    <row r="62" spans="1:15" x14ac:dyDescent="0.25">
      <c r="B62" t="s">
        <v>165</v>
      </c>
      <c r="C62" s="8">
        <f>SUM($C61:C61)</f>
        <v>778.85500000000002</v>
      </c>
      <c r="D62" s="8">
        <f>SUM($C61:D61)</f>
        <v>1557.71</v>
      </c>
      <c r="E62" s="8">
        <f>SUM($C61:E61)</f>
        <v>2336.5650000000001</v>
      </c>
      <c r="F62" s="8">
        <f>SUM($C61:F61)</f>
        <v>3115.42</v>
      </c>
      <c r="G62" s="8">
        <f>SUM($C61:G61)</f>
        <v>3894.2750000000001</v>
      </c>
      <c r="H62" s="8">
        <f>SUM($C61:H61)</f>
        <v>4673.13</v>
      </c>
      <c r="I62" s="8">
        <f>SUM($C61:I61)</f>
        <v>5451.9850000000006</v>
      </c>
      <c r="J62" s="8">
        <f>SUM($C61:J61)</f>
        <v>6230.84</v>
      </c>
      <c r="K62" s="8">
        <f>SUM($C61:K61)</f>
        <v>7009.6949999999997</v>
      </c>
      <c r="L62" s="8">
        <f>SUM($C61:L61)</f>
        <v>7788.5499999999993</v>
      </c>
      <c r="M62" s="8">
        <f>SUM($C61:M61)</f>
        <v>8567.4049999999988</v>
      </c>
      <c r="N62" s="8">
        <f>SUM($C61:N61)</f>
        <v>9349.9999999999982</v>
      </c>
    </row>
    <row r="63" spans="1:15" x14ac:dyDescent="0.25">
      <c r="B63" t="s">
        <v>166</v>
      </c>
      <c r="C63" s="62"/>
      <c r="D63" s="62"/>
      <c r="E63" s="62"/>
      <c r="F63" s="62"/>
      <c r="G63" s="62"/>
      <c r="H63" s="62"/>
      <c r="I63" s="62"/>
      <c r="J63" s="62"/>
      <c r="K63" s="62"/>
      <c r="L63" s="62"/>
      <c r="M63" s="62"/>
      <c r="N63" s="62"/>
    </row>
    <row r="64" spans="1:15" x14ac:dyDescent="0.25">
      <c r="A64" t="str">
        <f>'Monthly Income Worksheet'!A69</f>
        <v>Fuel hedge</v>
      </c>
      <c r="B64" t="s">
        <v>164</v>
      </c>
      <c r="C64" s="8">
        <f>'Monthly Income Worksheet'!C71*'Prior year summary'!$F56</f>
        <v>2477.5086000000001</v>
      </c>
      <c r="D64" s="8">
        <f>'Monthly Income Worksheet'!D71*'Prior year summary'!$F56</f>
        <v>2477.5086000000001</v>
      </c>
      <c r="E64" s="8">
        <f>'Monthly Income Worksheet'!E71*'Prior year summary'!$F56</f>
        <v>2477.5086000000001</v>
      </c>
      <c r="F64" s="8">
        <f>'Monthly Income Worksheet'!F71*'Prior year summary'!$F56</f>
        <v>2477.5086000000001</v>
      </c>
      <c r="G64" s="8">
        <f>'Monthly Income Worksheet'!G71*'Prior year summary'!$F56</f>
        <v>2477.5086000000001</v>
      </c>
      <c r="H64" s="8">
        <f>'Monthly Income Worksheet'!H71*'Prior year summary'!$F56</f>
        <v>2477.5086000000001</v>
      </c>
      <c r="I64" s="8">
        <f>'Monthly Income Worksheet'!I71*'Prior year summary'!$F56</f>
        <v>2477.5086000000001</v>
      </c>
      <c r="J64" s="8">
        <f>'Monthly Income Worksheet'!J71*'Prior year summary'!$F56</f>
        <v>2477.5086000000001</v>
      </c>
      <c r="K64" s="8">
        <f>'Monthly Income Worksheet'!K71*'Prior year summary'!$F56</f>
        <v>2477.5086000000001</v>
      </c>
      <c r="L64" s="8">
        <f>'Monthly Income Worksheet'!L71*'Prior year summary'!$F56</f>
        <v>2477.5086000000001</v>
      </c>
      <c r="M64" s="8">
        <f>'Monthly Income Worksheet'!M71*'Prior year summary'!$F56</f>
        <v>2477.5086000000001</v>
      </c>
      <c r="N64" s="8">
        <f>'Monthly Income Worksheet'!N71*'Prior year summary'!$F56</f>
        <v>2489.4053999999965</v>
      </c>
      <c r="O64" s="8">
        <f>SUM(C64:N64)</f>
        <v>29742.000000000004</v>
      </c>
    </row>
    <row r="65" spans="1:15" x14ac:dyDescent="0.25">
      <c r="B65" t="s">
        <v>165</v>
      </c>
      <c r="C65" s="8">
        <f>SUM($C64:C64)</f>
        <v>2477.5086000000001</v>
      </c>
      <c r="D65" s="8">
        <f>SUM($C64:D64)</f>
        <v>4955.0172000000002</v>
      </c>
      <c r="E65" s="8">
        <f>SUM($C64:E64)</f>
        <v>7432.5258000000003</v>
      </c>
      <c r="F65" s="8">
        <f>SUM($C64:F64)</f>
        <v>9910.0344000000005</v>
      </c>
      <c r="G65" s="8">
        <f>SUM($C64:G64)</f>
        <v>12387.543000000001</v>
      </c>
      <c r="H65" s="8">
        <f>SUM($C64:H64)</f>
        <v>14865.051600000003</v>
      </c>
      <c r="I65" s="8">
        <f>SUM($C64:I64)</f>
        <v>17342.560200000004</v>
      </c>
      <c r="J65" s="8">
        <f>SUM($C64:J64)</f>
        <v>19820.068800000005</v>
      </c>
      <c r="K65" s="8">
        <f>SUM($C64:K64)</f>
        <v>22297.577400000006</v>
      </c>
      <c r="L65" s="8">
        <f>SUM($C64:L64)</f>
        <v>24775.086000000007</v>
      </c>
      <c r="M65" s="8">
        <f>SUM($C64:M64)</f>
        <v>27252.594600000008</v>
      </c>
      <c r="N65" s="8">
        <f>SUM($C64:N64)</f>
        <v>29742.000000000004</v>
      </c>
    </row>
    <row r="66" spans="1:15" x14ac:dyDescent="0.25">
      <c r="B66" t="s">
        <v>166</v>
      </c>
      <c r="C66" s="62"/>
      <c r="D66" s="62"/>
      <c r="E66" s="62"/>
      <c r="F66" s="62"/>
      <c r="G66" s="62"/>
      <c r="H66" s="62"/>
      <c r="I66" s="62"/>
      <c r="J66" s="62"/>
      <c r="K66" s="62"/>
      <c r="L66" s="62"/>
      <c r="M66" s="62"/>
      <c r="N66" s="62"/>
    </row>
    <row r="67" spans="1:15" x14ac:dyDescent="0.25">
      <c r="A67" t="str">
        <f>'Monthly Income Worksheet'!A72</f>
        <v>income 22</v>
      </c>
      <c r="B67" t="s">
        <v>164</v>
      </c>
      <c r="C67" s="8">
        <f>'Monthly Income Worksheet'!C74*'Prior year summary'!$F57</f>
        <v>0</v>
      </c>
      <c r="D67" s="8">
        <f>'Monthly Income Worksheet'!D74*'Prior year summary'!$F57</f>
        <v>0</v>
      </c>
      <c r="E67" s="8">
        <f>'Monthly Income Worksheet'!E74*'Prior year summary'!$F57</f>
        <v>0</v>
      </c>
      <c r="F67" s="8">
        <f>'Monthly Income Worksheet'!F74*'Prior year summary'!$F57</f>
        <v>0</v>
      </c>
      <c r="G67" s="8">
        <f>'Monthly Income Worksheet'!G74*'Prior year summary'!$F57</f>
        <v>0</v>
      </c>
      <c r="H67" s="8">
        <f>'Monthly Income Worksheet'!H74*'Prior year summary'!$F57</f>
        <v>0</v>
      </c>
      <c r="I67" s="8">
        <f>'Monthly Income Worksheet'!I74*'Prior year summary'!$F57</f>
        <v>0</v>
      </c>
      <c r="J67" s="8">
        <f>'Monthly Income Worksheet'!J74*'Prior year summary'!$F57</f>
        <v>0</v>
      </c>
      <c r="K67" s="8">
        <f>'Monthly Income Worksheet'!K74*'Prior year summary'!$F57</f>
        <v>0</v>
      </c>
      <c r="L67" s="8">
        <f>'Monthly Income Worksheet'!L74*'Prior year summary'!$F57</f>
        <v>0</v>
      </c>
      <c r="M67" s="8">
        <f>'Monthly Income Worksheet'!M74*'Prior year summary'!$F57</f>
        <v>0</v>
      </c>
      <c r="N67" s="8">
        <f>'Monthly Income Worksheet'!N74*'Prior year summary'!$F57</f>
        <v>0</v>
      </c>
      <c r="O67" s="8">
        <f>'Monthly Income Worksheet'!O74*'Prior year summary'!$F57</f>
        <v>0</v>
      </c>
    </row>
    <row r="68" spans="1:15" x14ac:dyDescent="0.25">
      <c r="B68" t="s">
        <v>165</v>
      </c>
      <c r="C68" s="8">
        <f>SUM($C67:C67)</f>
        <v>0</v>
      </c>
      <c r="D68" s="8">
        <f>SUM($C67:D67)</f>
        <v>0</v>
      </c>
      <c r="E68" s="8">
        <f>SUM($C67:E67)</f>
        <v>0</v>
      </c>
      <c r="F68" s="8">
        <f>SUM($C67:F67)</f>
        <v>0</v>
      </c>
      <c r="G68" s="8">
        <f>SUM($C67:G67)</f>
        <v>0</v>
      </c>
      <c r="H68" s="8">
        <f>SUM($C67:H67)</f>
        <v>0</v>
      </c>
      <c r="I68" s="8">
        <f>SUM($C67:I67)</f>
        <v>0</v>
      </c>
      <c r="J68" s="8">
        <f>SUM($C67:J67)</f>
        <v>0</v>
      </c>
      <c r="K68" s="8">
        <f>SUM($C67:K67)</f>
        <v>0</v>
      </c>
      <c r="L68" s="8">
        <f>SUM($C67:L67)</f>
        <v>0</v>
      </c>
      <c r="M68" s="8">
        <f>SUM($C67:M67)</f>
        <v>0</v>
      </c>
      <c r="N68" s="8">
        <f>SUM($C67:N67)</f>
        <v>0</v>
      </c>
    </row>
    <row r="69" spans="1:15" x14ac:dyDescent="0.25">
      <c r="B69" t="s">
        <v>166</v>
      </c>
      <c r="C69" s="62"/>
      <c r="D69" s="62"/>
      <c r="E69" s="62"/>
      <c r="F69" s="62"/>
      <c r="G69" s="62"/>
      <c r="H69" s="62"/>
      <c r="I69" s="62"/>
      <c r="J69" s="62"/>
      <c r="K69" s="62"/>
      <c r="L69" s="62"/>
      <c r="M69" s="62"/>
      <c r="N69" s="62"/>
    </row>
    <row r="70" spans="1:15" x14ac:dyDescent="0.25">
      <c r="A70" t="str">
        <f>'Monthly Income Worksheet'!A75</f>
        <v>income 23</v>
      </c>
      <c r="B70" t="s">
        <v>164</v>
      </c>
      <c r="C70" s="8">
        <f>'Monthly Income Worksheet'!C77*'Prior year summary'!$F58</f>
        <v>0</v>
      </c>
      <c r="D70" s="8">
        <f>'Monthly Income Worksheet'!D77*'Prior year summary'!$F58</f>
        <v>0</v>
      </c>
      <c r="E70" s="8">
        <f>'Monthly Income Worksheet'!E77*'Prior year summary'!$F58</f>
        <v>0</v>
      </c>
      <c r="F70" s="8">
        <f>'Monthly Income Worksheet'!F77*'Prior year summary'!$F58</f>
        <v>0</v>
      </c>
      <c r="G70" s="8">
        <f>'Monthly Income Worksheet'!G77*'Prior year summary'!$F58</f>
        <v>0</v>
      </c>
      <c r="H70" s="8">
        <f>'Monthly Income Worksheet'!H77*'Prior year summary'!$F58</f>
        <v>0</v>
      </c>
      <c r="I70" s="8">
        <f>'Monthly Income Worksheet'!I77*'Prior year summary'!$F58</f>
        <v>0</v>
      </c>
      <c r="J70" s="8">
        <f>'Monthly Income Worksheet'!J77*'Prior year summary'!$F58</f>
        <v>0</v>
      </c>
      <c r="K70" s="8">
        <f>'Monthly Income Worksheet'!K77*'Prior year summary'!$F58</f>
        <v>0</v>
      </c>
      <c r="L70" s="8">
        <f>'Monthly Income Worksheet'!L77*'Prior year summary'!$F58</f>
        <v>0</v>
      </c>
      <c r="M70" s="8">
        <f>'Monthly Income Worksheet'!M77*'Prior year summary'!$F58</f>
        <v>0</v>
      </c>
      <c r="N70" s="8">
        <f>'Monthly Income Worksheet'!N77*'Prior year summary'!$F58</f>
        <v>0</v>
      </c>
      <c r="O70" s="8">
        <f>SUM(C70:N70)</f>
        <v>0</v>
      </c>
    </row>
    <row r="71" spans="1:15" x14ac:dyDescent="0.25">
      <c r="B71" t="s">
        <v>165</v>
      </c>
      <c r="C71" s="8">
        <f>SUM($C70:C70)</f>
        <v>0</v>
      </c>
      <c r="D71" s="8">
        <f>SUM($C70:D70)</f>
        <v>0</v>
      </c>
      <c r="E71" s="8">
        <f>SUM($C70:E70)</f>
        <v>0</v>
      </c>
      <c r="F71" s="8">
        <f>SUM($C70:F70)</f>
        <v>0</v>
      </c>
      <c r="G71" s="8">
        <f>SUM($C70:G70)</f>
        <v>0</v>
      </c>
      <c r="H71" s="8">
        <f>SUM($C70:H70)</f>
        <v>0</v>
      </c>
      <c r="I71" s="8">
        <f>SUM($C70:I70)</f>
        <v>0</v>
      </c>
      <c r="J71" s="8">
        <f>SUM($C70:J70)</f>
        <v>0</v>
      </c>
      <c r="K71" s="8">
        <f>SUM($C70:K70)</f>
        <v>0</v>
      </c>
      <c r="L71" s="8">
        <f>SUM($C70:L70)</f>
        <v>0</v>
      </c>
      <c r="M71" s="8">
        <f>SUM($C70:M70)</f>
        <v>0</v>
      </c>
      <c r="N71" s="8">
        <f>SUM($C70:N70)</f>
        <v>0</v>
      </c>
    </row>
    <row r="72" spans="1:15" x14ac:dyDescent="0.25">
      <c r="B72" t="s">
        <v>166</v>
      </c>
      <c r="C72" s="62"/>
      <c r="D72" s="62"/>
      <c r="E72" s="62"/>
      <c r="F72" s="62"/>
      <c r="G72" s="62"/>
      <c r="H72" s="62"/>
      <c r="I72" s="62"/>
      <c r="J72" s="62"/>
      <c r="K72" s="62"/>
      <c r="L72" s="62"/>
      <c r="M72" s="62"/>
      <c r="N72" s="62"/>
    </row>
    <row r="73" spans="1:15" x14ac:dyDescent="0.25">
      <c r="A73" t="str">
        <f>'Monthly Income Worksheet'!A78</f>
        <v>income 24</v>
      </c>
      <c r="B73" t="s">
        <v>164</v>
      </c>
      <c r="C73" s="8">
        <f>'Monthly Income Worksheet'!C80*'Prior year summary'!$F59</f>
        <v>0</v>
      </c>
      <c r="D73" s="8">
        <f>'Monthly Income Worksheet'!D80*'Prior year summary'!$F59</f>
        <v>0</v>
      </c>
      <c r="E73" s="8">
        <f>'Monthly Income Worksheet'!E80*'Prior year summary'!$F59</f>
        <v>0</v>
      </c>
      <c r="F73" s="8">
        <f>'Monthly Income Worksheet'!F80*'Prior year summary'!$F59</f>
        <v>0</v>
      </c>
      <c r="G73" s="8">
        <f>'Monthly Income Worksheet'!G80*'Prior year summary'!$F59</f>
        <v>0</v>
      </c>
      <c r="H73" s="8">
        <f>'Monthly Income Worksheet'!H80*'Prior year summary'!$F59</f>
        <v>0</v>
      </c>
      <c r="I73" s="8">
        <f>'Monthly Income Worksheet'!I80*'Prior year summary'!$F59</f>
        <v>0</v>
      </c>
      <c r="J73" s="8">
        <f>'Monthly Income Worksheet'!J80*'Prior year summary'!$F59</f>
        <v>0</v>
      </c>
      <c r="K73" s="8">
        <f>'Monthly Income Worksheet'!K80*'Prior year summary'!$F59</f>
        <v>0</v>
      </c>
      <c r="L73" s="8">
        <f>'Monthly Income Worksheet'!L80*'Prior year summary'!$F59</f>
        <v>0</v>
      </c>
      <c r="M73" s="8">
        <f>'Monthly Income Worksheet'!M80*'Prior year summary'!$F59</f>
        <v>0</v>
      </c>
      <c r="N73" s="8">
        <f>'Monthly Income Worksheet'!N80*'Prior year summary'!$F59</f>
        <v>0</v>
      </c>
      <c r="O73" s="8">
        <f>SUM(C73:N73)</f>
        <v>0</v>
      </c>
    </row>
    <row r="74" spans="1:15" x14ac:dyDescent="0.25">
      <c r="B74" t="s">
        <v>165</v>
      </c>
      <c r="C74" s="8">
        <f>SUM($C73:C73)</f>
        <v>0</v>
      </c>
      <c r="D74" s="8">
        <f>SUM($C73:D73)</f>
        <v>0</v>
      </c>
      <c r="E74" s="8">
        <f>SUM($C73:E73)</f>
        <v>0</v>
      </c>
      <c r="F74" s="8">
        <f>SUM($C73:F73)</f>
        <v>0</v>
      </c>
      <c r="G74" s="8">
        <f>SUM($C73:G73)</f>
        <v>0</v>
      </c>
      <c r="H74" s="8">
        <f>SUM($C73:H73)</f>
        <v>0</v>
      </c>
      <c r="I74" s="8">
        <f>SUM($C73:I73)</f>
        <v>0</v>
      </c>
      <c r="J74" s="8">
        <f>SUM($C73:J73)</f>
        <v>0</v>
      </c>
      <c r="K74" s="8">
        <f>SUM($C73:K73)</f>
        <v>0</v>
      </c>
      <c r="L74" s="8">
        <f>SUM($C73:L73)</f>
        <v>0</v>
      </c>
      <c r="M74" s="8">
        <f>SUM($C73:M73)</f>
        <v>0</v>
      </c>
      <c r="N74" s="8">
        <f>SUM($C73:N73)</f>
        <v>0</v>
      </c>
    </row>
    <row r="75" spans="1:15" x14ac:dyDescent="0.25">
      <c r="B75" t="s">
        <v>166</v>
      </c>
      <c r="C75" s="62"/>
      <c r="D75" s="62"/>
      <c r="E75" s="62"/>
      <c r="F75" s="62"/>
      <c r="G75" s="62"/>
      <c r="H75" s="62"/>
      <c r="I75" s="62"/>
      <c r="J75" s="62"/>
      <c r="K75" s="62"/>
      <c r="L75" s="62"/>
      <c r="M75" s="62"/>
      <c r="N75" s="62"/>
    </row>
    <row r="76" spans="1:15" x14ac:dyDescent="0.25">
      <c r="A76" t="str">
        <f>'Monthly Income Worksheet'!A81</f>
        <v>income 25</v>
      </c>
      <c r="B76" t="s">
        <v>164</v>
      </c>
      <c r="C76" s="8">
        <f>'Monthly Income Worksheet'!C83*'Prior year summary'!$F60</f>
        <v>0</v>
      </c>
      <c r="D76" s="8">
        <f>'Monthly Income Worksheet'!D83*'Prior year summary'!$F60</f>
        <v>0</v>
      </c>
      <c r="E76" s="8">
        <f>'Monthly Income Worksheet'!E83*'Prior year summary'!$F60</f>
        <v>0</v>
      </c>
      <c r="F76" s="8">
        <f>'Monthly Income Worksheet'!F83*'Prior year summary'!$F60</f>
        <v>0</v>
      </c>
      <c r="G76" s="8">
        <f>'Monthly Income Worksheet'!G83*'Prior year summary'!$F60</f>
        <v>0</v>
      </c>
      <c r="H76" s="8">
        <f>'Monthly Income Worksheet'!H83*'Prior year summary'!$F60</f>
        <v>0</v>
      </c>
      <c r="I76" s="8">
        <f>'Monthly Income Worksheet'!I83*'Prior year summary'!$F60</f>
        <v>0</v>
      </c>
      <c r="J76" s="8">
        <f>'Monthly Income Worksheet'!J83*'Prior year summary'!$F60</f>
        <v>0</v>
      </c>
      <c r="K76" s="8">
        <f>'Monthly Income Worksheet'!K83*'Prior year summary'!$F60</f>
        <v>0</v>
      </c>
      <c r="L76" s="8">
        <f>'Monthly Income Worksheet'!L83*'Prior year summary'!$F60</f>
        <v>0</v>
      </c>
      <c r="M76" s="8">
        <f>'Monthly Income Worksheet'!M83*'Prior year summary'!$F60</f>
        <v>0</v>
      </c>
      <c r="N76" s="8">
        <f>'Monthly Income Worksheet'!N83*'Prior year summary'!$F60</f>
        <v>0</v>
      </c>
      <c r="O76" s="8">
        <f>SUM(C76:N76)</f>
        <v>0</v>
      </c>
    </row>
    <row r="77" spans="1:15" x14ac:dyDescent="0.25">
      <c r="B77" t="s">
        <v>165</v>
      </c>
      <c r="C77" s="8">
        <f>SUM($C76:C76)</f>
        <v>0</v>
      </c>
      <c r="D77" s="8">
        <f>SUM($C76:D76)</f>
        <v>0</v>
      </c>
      <c r="E77" s="8">
        <f>SUM($C76:E76)</f>
        <v>0</v>
      </c>
      <c r="F77" s="8">
        <f>SUM($C76:F76)</f>
        <v>0</v>
      </c>
      <c r="G77" s="8">
        <f>SUM($C76:G76)</f>
        <v>0</v>
      </c>
      <c r="H77" s="8">
        <f>SUM($C76:H76)</f>
        <v>0</v>
      </c>
      <c r="I77" s="8">
        <f>SUM($C76:I76)</f>
        <v>0</v>
      </c>
      <c r="J77" s="8">
        <f>SUM($C76:J76)</f>
        <v>0</v>
      </c>
      <c r="K77" s="8">
        <f>SUM($C76:K76)</f>
        <v>0</v>
      </c>
      <c r="L77" s="8">
        <f>SUM($C76:L76)</f>
        <v>0</v>
      </c>
      <c r="M77" s="8">
        <f>SUM($C76:M76)</f>
        <v>0</v>
      </c>
      <c r="N77" s="8">
        <f>SUM($C76:N76)</f>
        <v>0</v>
      </c>
    </row>
    <row r="78" spans="1:15" x14ac:dyDescent="0.25">
      <c r="B78" t="s">
        <v>166</v>
      </c>
      <c r="C78" s="62"/>
      <c r="D78" s="62"/>
      <c r="E78" s="62"/>
      <c r="F78" s="62"/>
      <c r="G78" s="62"/>
      <c r="H78" s="62"/>
      <c r="I78" s="62"/>
      <c r="J78" s="62"/>
      <c r="K78" s="62"/>
      <c r="L78" s="62"/>
      <c r="M78" s="62"/>
      <c r="N78" s="62"/>
    </row>
    <row r="79" spans="1:15" x14ac:dyDescent="0.25">
      <c r="A79" t="str">
        <f>'Monthly Income Worksheet'!A84</f>
        <v>income 26</v>
      </c>
      <c r="B79" t="s">
        <v>164</v>
      </c>
      <c r="C79" s="8">
        <f>'Monthly Income Worksheet'!C86*'Prior year summary'!$F61</f>
        <v>0</v>
      </c>
      <c r="D79" s="8">
        <f>'Monthly Income Worksheet'!D86*'Prior year summary'!$F61</f>
        <v>0</v>
      </c>
      <c r="E79" s="8">
        <f>'Monthly Income Worksheet'!E86*'Prior year summary'!$F61</f>
        <v>0</v>
      </c>
      <c r="F79" s="8">
        <f>'Monthly Income Worksheet'!F86*'Prior year summary'!$F61</f>
        <v>0</v>
      </c>
      <c r="G79" s="8">
        <f>'Monthly Income Worksheet'!G86*'Prior year summary'!$F61</f>
        <v>0</v>
      </c>
      <c r="H79" s="8">
        <f>'Monthly Income Worksheet'!H86*'Prior year summary'!$F61</f>
        <v>0</v>
      </c>
      <c r="I79" s="8">
        <f>'Monthly Income Worksheet'!I86*'Prior year summary'!$F61</f>
        <v>0</v>
      </c>
      <c r="J79" s="8">
        <f>'Monthly Income Worksheet'!J86*'Prior year summary'!$F61</f>
        <v>0</v>
      </c>
      <c r="K79" s="8">
        <f>'Monthly Income Worksheet'!K86*'Prior year summary'!$F61</f>
        <v>0</v>
      </c>
      <c r="L79" s="8">
        <f>'Monthly Income Worksheet'!L86*'Prior year summary'!$F61</f>
        <v>0</v>
      </c>
      <c r="M79" s="8">
        <f>'Monthly Income Worksheet'!M86*'Prior year summary'!$F61</f>
        <v>0</v>
      </c>
      <c r="N79" s="8">
        <f>'Monthly Income Worksheet'!N86*'Prior year summary'!$F61</f>
        <v>0</v>
      </c>
      <c r="O79" s="8">
        <f>SUM(C79:N79)</f>
        <v>0</v>
      </c>
    </row>
    <row r="80" spans="1:15" x14ac:dyDescent="0.25">
      <c r="B80" t="s">
        <v>165</v>
      </c>
      <c r="C80" s="8">
        <f>SUM($C79:C79)</f>
        <v>0</v>
      </c>
      <c r="D80" s="8">
        <f>SUM($C79:D79)</f>
        <v>0</v>
      </c>
      <c r="E80" s="8">
        <f>SUM($C79:E79)</f>
        <v>0</v>
      </c>
      <c r="F80" s="8">
        <f>SUM($C79:F79)</f>
        <v>0</v>
      </c>
      <c r="G80" s="8">
        <f>SUM($C79:G79)</f>
        <v>0</v>
      </c>
      <c r="H80" s="8">
        <f>SUM($C79:H79)</f>
        <v>0</v>
      </c>
      <c r="I80" s="8">
        <f>SUM($C79:I79)</f>
        <v>0</v>
      </c>
      <c r="J80" s="8">
        <f>SUM($C79:J79)</f>
        <v>0</v>
      </c>
      <c r="K80" s="8">
        <f>SUM($C79:K79)</f>
        <v>0</v>
      </c>
      <c r="L80" s="8">
        <f>SUM($C79:L79)</f>
        <v>0</v>
      </c>
      <c r="M80" s="8">
        <f>SUM($C79:M79)</f>
        <v>0</v>
      </c>
      <c r="N80" s="8">
        <f>SUM($C79:N79)</f>
        <v>0</v>
      </c>
    </row>
    <row r="81" spans="1:15" x14ac:dyDescent="0.25">
      <c r="B81" t="s">
        <v>166</v>
      </c>
      <c r="C81" s="62"/>
      <c r="D81" s="62"/>
      <c r="E81" s="62"/>
      <c r="F81" s="62"/>
      <c r="G81" s="62"/>
      <c r="H81" s="62"/>
      <c r="I81" s="62"/>
      <c r="J81" s="62"/>
      <c r="K81" s="62"/>
      <c r="L81" s="62"/>
      <c r="M81" s="62"/>
      <c r="N81" s="62"/>
    </row>
    <row r="83" spans="1:15" x14ac:dyDescent="0.25">
      <c r="A83" t="s">
        <v>186</v>
      </c>
      <c r="B83" t="s">
        <v>164</v>
      </c>
      <c r="C83" s="8">
        <f>SUM(C4,C7,C10,C13,C16,C19,C22,C25,C28,C31,C34,C37,C40,C43,C46,C49,C52,C55,C58,C61,C64,C67,C70,C73,C76:C79)</f>
        <v>331600.05690000003</v>
      </c>
      <c r="D83" s="8">
        <f t="shared" ref="D83:O83" si="0">SUM(D4,D7,D10,D13,D16,D19,D22,D25,D28,D31,D34,D37,D40,D43,D46,D49,D52,D55,D58,D61,D64,D67,D70,D73,D76:D79)</f>
        <v>331600.05690000003</v>
      </c>
      <c r="E83" s="8">
        <f t="shared" si="0"/>
        <v>331600.05690000003</v>
      </c>
      <c r="F83" s="8">
        <f t="shared" si="0"/>
        <v>331600.05690000003</v>
      </c>
      <c r="G83" s="8">
        <f t="shared" si="0"/>
        <v>331600.05690000003</v>
      </c>
      <c r="H83" s="8">
        <f t="shared" si="0"/>
        <v>331600.05690000003</v>
      </c>
      <c r="I83" s="8">
        <f t="shared" si="0"/>
        <v>331600.05690000003</v>
      </c>
      <c r="J83" s="8">
        <f t="shared" si="0"/>
        <v>331600.05690000003</v>
      </c>
      <c r="K83" s="8">
        <f t="shared" si="0"/>
        <v>331600.05690000003</v>
      </c>
      <c r="L83" s="8">
        <f t="shared" si="0"/>
        <v>331600.05690000003</v>
      </c>
      <c r="M83" s="8">
        <f t="shared" si="0"/>
        <v>331600.05690000003</v>
      </c>
      <c r="N83" s="8">
        <f t="shared" si="0"/>
        <v>333192.37409999949</v>
      </c>
      <c r="O83" s="8">
        <f t="shared" si="0"/>
        <v>3980792.9999999995</v>
      </c>
    </row>
    <row r="84" spans="1:15" x14ac:dyDescent="0.25">
      <c r="B84" t="s">
        <v>165</v>
      </c>
      <c r="C84" s="8">
        <f t="shared" ref="C84:N85" si="1">SUM(C5,C8,C11,C14,C17,C20,C23,C26,C29,C32,C35,C38,C41,C44,C47,C50,C53,C56,C59,C62,C65,C68,C71,C74,C77:C80)</f>
        <v>331600.05690000003</v>
      </c>
      <c r="D84" s="8">
        <f t="shared" si="1"/>
        <v>663200.11380000005</v>
      </c>
      <c r="E84" s="8">
        <f t="shared" si="1"/>
        <v>994800.1706999999</v>
      </c>
      <c r="F84" s="8">
        <f t="shared" si="1"/>
        <v>1326400.2276000001</v>
      </c>
      <c r="G84" s="8">
        <f t="shared" si="1"/>
        <v>1658000.2845000005</v>
      </c>
      <c r="H84" s="8">
        <f t="shared" si="1"/>
        <v>1989600.3413999998</v>
      </c>
      <c r="I84" s="8">
        <f t="shared" si="1"/>
        <v>2321200.3983</v>
      </c>
      <c r="J84" s="8">
        <f t="shared" si="1"/>
        <v>2652800.4551999997</v>
      </c>
      <c r="K84" s="8">
        <f t="shared" si="1"/>
        <v>2984400.5120999999</v>
      </c>
      <c r="L84" s="8">
        <f t="shared" si="1"/>
        <v>3316000.5690000006</v>
      </c>
      <c r="M84" s="8">
        <f t="shared" si="1"/>
        <v>3647600.6258999999</v>
      </c>
      <c r="N84" s="8">
        <f t="shared" si="1"/>
        <v>3980792.9999999995</v>
      </c>
      <c r="O84" s="8"/>
    </row>
    <row r="85" spans="1:15" x14ac:dyDescent="0.25">
      <c r="B85" t="s">
        <v>166</v>
      </c>
      <c r="C85" s="8">
        <f t="shared" si="1"/>
        <v>0</v>
      </c>
      <c r="D85" s="8">
        <f t="shared" si="1"/>
        <v>0</v>
      </c>
      <c r="E85" s="8">
        <f t="shared" si="1"/>
        <v>0</v>
      </c>
      <c r="F85" s="8">
        <f t="shared" si="1"/>
        <v>0</v>
      </c>
      <c r="G85" s="8">
        <f t="shared" si="1"/>
        <v>0</v>
      </c>
      <c r="H85" s="8">
        <f t="shared" si="1"/>
        <v>0</v>
      </c>
      <c r="I85" s="8">
        <f t="shared" si="1"/>
        <v>0</v>
      </c>
      <c r="J85" s="8">
        <f t="shared" si="1"/>
        <v>0</v>
      </c>
      <c r="K85" s="8">
        <f t="shared" si="1"/>
        <v>0</v>
      </c>
      <c r="L85" s="8">
        <f t="shared" si="1"/>
        <v>0</v>
      </c>
      <c r="M85" s="8">
        <f t="shared" si="1"/>
        <v>0</v>
      </c>
      <c r="N85" s="8">
        <f t="shared" si="1"/>
        <v>0</v>
      </c>
      <c r="O85" s="8"/>
    </row>
    <row r="87" spans="1:15" x14ac:dyDescent="0.25">
      <c r="A87" t="s">
        <v>289</v>
      </c>
      <c r="B87" t="s">
        <v>164</v>
      </c>
      <c r="C87" s="20">
        <f>'Monthly Income Worksheet'!C90*'Prior year summary'!$F126</f>
        <v>100000</v>
      </c>
      <c r="D87" s="20">
        <f>'Monthly Income Worksheet'!D90*'Prior year summary'!$F126</f>
        <v>0</v>
      </c>
      <c r="E87" s="20">
        <f>'Monthly Income Worksheet'!E90*'Prior year summary'!$F126</f>
        <v>0</v>
      </c>
      <c r="F87" s="20">
        <f>'Monthly Income Worksheet'!F90*'Prior year summary'!$F126</f>
        <v>0</v>
      </c>
      <c r="G87" s="20">
        <f>'Monthly Income Worksheet'!G90*'Prior year summary'!$F126</f>
        <v>0</v>
      </c>
      <c r="H87" s="20">
        <f>'Monthly Income Worksheet'!H90*'Prior year summary'!$F126</f>
        <v>0</v>
      </c>
      <c r="I87" s="20">
        <f>'Monthly Income Worksheet'!I90*'Prior year summary'!$F126</f>
        <v>0</v>
      </c>
      <c r="J87" s="20">
        <f>'Monthly Income Worksheet'!J90*'Prior year summary'!$F126</f>
        <v>0</v>
      </c>
      <c r="K87" s="20">
        <f>'Monthly Income Worksheet'!K90*'Prior year summary'!$F126</f>
        <v>0</v>
      </c>
      <c r="L87" s="20">
        <f>'Monthly Income Worksheet'!L90*'Prior year summary'!$F126</f>
        <v>0</v>
      </c>
      <c r="M87" s="20">
        <f>'Monthly Income Worksheet'!M90*'Prior year summary'!$F126</f>
        <v>0</v>
      </c>
      <c r="N87" s="20">
        <f>'Monthly Income Worksheet'!N90*'Prior year summary'!$F126</f>
        <v>0</v>
      </c>
    </row>
    <row r="88" spans="1:15" x14ac:dyDescent="0.25">
      <c r="B88" t="s">
        <v>165</v>
      </c>
      <c r="C88" s="8">
        <f>SUM($C87:C87)</f>
        <v>100000</v>
      </c>
      <c r="D88" s="8">
        <f>SUM($C87:D87)</f>
        <v>100000</v>
      </c>
      <c r="E88" s="8">
        <f>SUM($C87:E87)</f>
        <v>100000</v>
      </c>
      <c r="F88" s="8">
        <f>SUM($C87:F87)</f>
        <v>100000</v>
      </c>
      <c r="G88" s="8">
        <f>SUM($C87:G87)</f>
        <v>100000</v>
      </c>
      <c r="H88" s="8">
        <f>SUM($C87:H87)</f>
        <v>100000</v>
      </c>
      <c r="I88" s="8">
        <f>SUM($C87:I87)</f>
        <v>100000</v>
      </c>
      <c r="J88" s="8">
        <f>SUM($C87:J87)</f>
        <v>100000</v>
      </c>
      <c r="K88" s="8">
        <f>SUM($C87:K87)</f>
        <v>100000</v>
      </c>
      <c r="L88" s="8">
        <f>SUM($C87:L87)</f>
        <v>100000</v>
      </c>
      <c r="M88" s="8">
        <f>SUM($C87:M87)</f>
        <v>100000</v>
      </c>
      <c r="N88" s="8">
        <f>SUM($C87:N87)</f>
        <v>100000</v>
      </c>
    </row>
    <row r="89" spans="1:15" x14ac:dyDescent="0.25">
      <c r="B89" t="s">
        <v>166</v>
      </c>
      <c r="C89" s="44"/>
      <c r="D89" s="44"/>
      <c r="E89" s="44"/>
      <c r="F89" s="44"/>
      <c r="G89" s="44"/>
      <c r="H89" s="44"/>
      <c r="I89" s="44"/>
      <c r="J89" s="44"/>
      <c r="K89" s="44"/>
      <c r="L89" s="44"/>
      <c r="M89" s="44"/>
      <c r="N89" s="44"/>
    </row>
  </sheetData>
  <phoneticPr fontId="2"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9"/>
  <sheetViews>
    <sheetView topLeftCell="A121" workbookViewId="0">
      <selection activeCell="C6" sqref="C6"/>
    </sheetView>
  </sheetViews>
  <sheetFormatPr defaultRowHeight="15" x14ac:dyDescent="0.25"/>
  <cols>
    <col min="1" max="1" width="18" customWidth="1"/>
    <col min="3" max="3" width="13.42578125" customWidth="1"/>
  </cols>
  <sheetData>
    <row r="1" spans="1:16" x14ac:dyDescent="0.25">
      <c r="P1" s="8">
        <f>'Prior year summary'!F68</f>
        <v>0</v>
      </c>
    </row>
    <row r="2" spans="1:16" x14ac:dyDescent="0.25">
      <c r="A2" t="str">
        <f>'5 year history'!A8</f>
        <v>Anytown Cooperative</v>
      </c>
      <c r="E2" s="77">
        <f>'5 year history'!F8</f>
        <v>41038</v>
      </c>
    </row>
    <row r="3" spans="1:16" x14ac:dyDescent="0.25">
      <c r="C3" t="str">
        <f>'Monthly Expense Worksheet'!C8</f>
        <v>JAN</v>
      </c>
      <c r="D3" t="str">
        <f>'Monthly Expense Worksheet'!D8</f>
        <v>FEB</v>
      </c>
      <c r="E3" t="str">
        <f>'Monthly Expense Worksheet'!E8</f>
        <v>MAR</v>
      </c>
      <c r="F3" t="str">
        <f>'Monthly Expense Worksheet'!F8</f>
        <v>APRIL</v>
      </c>
      <c r="G3" t="str">
        <f>'Monthly Expense Worksheet'!G8</f>
        <v>MAY</v>
      </c>
      <c r="H3" t="str">
        <f>'Monthly Expense Worksheet'!H8</f>
        <v>JUN</v>
      </c>
      <c r="I3" t="str">
        <f>'Monthly Expense Worksheet'!I8</f>
        <v>JUL</v>
      </c>
      <c r="J3" t="str">
        <f>'Monthly Expense Worksheet'!J8</f>
        <v>AUG</v>
      </c>
      <c r="K3" t="str">
        <f>'Monthly Expense Worksheet'!K8</f>
        <v>SEPT</v>
      </c>
      <c r="L3" t="str">
        <f>'Monthly Expense Worksheet'!L8</f>
        <v>OCT</v>
      </c>
      <c r="M3" t="str">
        <f>'Monthly Expense Worksheet'!M8</f>
        <v>NOV</v>
      </c>
      <c r="N3" t="str">
        <f>'Monthly Expense Worksheet'!N8</f>
        <v>DEC</v>
      </c>
      <c r="O3" t="str">
        <f>'Monthly Expense Worksheet'!O8</f>
        <v>TOTAL</v>
      </c>
    </row>
    <row r="4" spans="1:16" x14ac:dyDescent="0.25">
      <c r="A4" t="str">
        <f>'Monthly Expense Worksheet'!A9</f>
        <v>Salaries</v>
      </c>
      <c r="B4" t="s">
        <v>164</v>
      </c>
      <c r="C4" s="8">
        <f>'Monthly Expense Worksheet'!C11*'Prior year summary'!$F71</f>
        <v>120565.07967000001</v>
      </c>
      <c r="D4" s="8">
        <f>'Monthly Expense Worksheet'!D11*'Prior year summary'!$F71</f>
        <v>120565.07967000001</v>
      </c>
      <c r="E4" s="8">
        <f>'Monthly Expense Worksheet'!E11*'Prior year summary'!$F71</f>
        <v>120565.07967000001</v>
      </c>
      <c r="F4" s="8">
        <f>'Monthly Expense Worksheet'!F11*'Prior year summary'!$F71</f>
        <v>120565.07967000001</v>
      </c>
      <c r="G4" s="8">
        <f>'Monthly Expense Worksheet'!G11*'Prior year summary'!$F71</f>
        <v>120565.07967000001</v>
      </c>
      <c r="H4" s="8">
        <f>'Monthly Expense Worksheet'!H11*'Prior year summary'!$F71</f>
        <v>120565.07967000001</v>
      </c>
      <c r="I4" s="8">
        <f>'Monthly Expense Worksheet'!I11*'Prior year summary'!$F71</f>
        <v>120565.07967000001</v>
      </c>
      <c r="J4" s="8">
        <f>'Monthly Expense Worksheet'!J11*'Prior year summary'!$F71</f>
        <v>120565.07967000001</v>
      </c>
      <c r="K4" s="8">
        <f>'Monthly Expense Worksheet'!K11*'Prior year summary'!$F71</f>
        <v>120565.07967000001</v>
      </c>
      <c r="L4" s="8">
        <f>'Monthly Expense Worksheet'!L11*'Prior year summary'!$F71</f>
        <v>120565.07967000001</v>
      </c>
      <c r="M4" s="8">
        <f>'Monthly Expense Worksheet'!M11*'Prior year summary'!$F71</f>
        <v>120565.07967000001</v>
      </c>
      <c r="N4" s="8">
        <f>'Monthly Expense Worksheet'!N11*'Prior year summary'!$F71</f>
        <v>121144.02362999985</v>
      </c>
      <c r="O4" s="8">
        <f>SUM(C4:N4)</f>
        <v>1447359.8999999997</v>
      </c>
      <c r="P4" s="8">
        <f>'Prior year summary'!F71</f>
        <v>1447359.9000000001</v>
      </c>
    </row>
    <row r="5" spans="1:16" x14ac:dyDescent="0.25">
      <c r="B5" t="s">
        <v>165</v>
      </c>
      <c r="C5" s="8">
        <f>SUM($C4:C4)</f>
        <v>120565.07967000001</v>
      </c>
      <c r="D5" s="8">
        <f>SUM($C4:D4)</f>
        <v>241130.15934000001</v>
      </c>
      <c r="E5" s="8">
        <f>SUM($C4:E4)</f>
        <v>361695.23901000002</v>
      </c>
      <c r="F5" s="8">
        <f>SUM($C4:F4)</f>
        <v>482260.31868000003</v>
      </c>
      <c r="G5" s="8">
        <f>SUM($C4:G4)</f>
        <v>602825.39835000003</v>
      </c>
      <c r="H5" s="8">
        <f>SUM($C4:H4)</f>
        <v>723390.47802000004</v>
      </c>
      <c r="I5" s="8">
        <f>SUM($C4:I4)</f>
        <v>843955.55769000005</v>
      </c>
      <c r="J5" s="8">
        <f>SUM($C4:J4)</f>
        <v>964520.63736000005</v>
      </c>
      <c r="K5" s="8">
        <f>SUM($C4:K4)</f>
        <v>1085085.7170299999</v>
      </c>
      <c r="L5" s="8">
        <f>SUM($C4:L4)</f>
        <v>1205650.7966999998</v>
      </c>
      <c r="M5" s="8">
        <f>SUM($C4:M4)</f>
        <v>1326215.8763699997</v>
      </c>
      <c r="N5" s="8">
        <f>SUM($C4:N4)</f>
        <v>1447359.8999999997</v>
      </c>
      <c r="O5" s="8"/>
    </row>
    <row r="6" spans="1:16" x14ac:dyDescent="0.25">
      <c r="B6" t="s">
        <v>188</v>
      </c>
      <c r="C6" s="62"/>
      <c r="D6" s="62"/>
      <c r="E6" s="62"/>
      <c r="F6" s="62"/>
      <c r="G6" s="62"/>
      <c r="H6" s="62"/>
      <c r="I6" s="62"/>
      <c r="J6" s="62"/>
      <c r="K6" s="62"/>
      <c r="L6" s="62"/>
      <c r="M6" s="62"/>
      <c r="N6" s="62"/>
      <c r="O6" s="8"/>
      <c r="P6" s="8"/>
    </row>
    <row r="7" spans="1:16" x14ac:dyDescent="0.25">
      <c r="A7" t="str">
        <f>'Monthly Expense Worksheet'!A12</f>
        <v>Payroll Tax</v>
      </c>
      <c r="B7" t="s">
        <v>164</v>
      </c>
      <c r="C7" s="8">
        <f>'Monthly Expense Worksheet'!C14*'Prior year summary'!$F72</f>
        <v>16313.971799999999</v>
      </c>
      <c r="D7" s="8">
        <f>'Monthly Expense Worksheet'!D14*'Prior year summary'!$F72</f>
        <v>16313.971799999999</v>
      </c>
      <c r="E7" s="8">
        <f>'Monthly Expense Worksheet'!E14*'Prior year summary'!$F72</f>
        <v>16313.971799999999</v>
      </c>
      <c r="F7" s="8">
        <f>'Monthly Expense Worksheet'!F14*'Prior year summary'!$F72</f>
        <v>16313.971799999999</v>
      </c>
      <c r="G7" s="8">
        <f>'Monthly Expense Worksheet'!G14*'Prior year summary'!$F72</f>
        <v>16313.971799999999</v>
      </c>
      <c r="H7" s="8">
        <f>'Monthly Expense Worksheet'!H14*'Prior year summary'!$F72</f>
        <v>16313.971799999999</v>
      </c>
      <c r="I7" s="8">
        <f>'Monthly Expense Worksheet'!I14*'Prior year summary'!$F72</f>
        <v>16313.971799999999</v>
      </c>
      <c r="J7" s="8">
        <f>'Monthly Expense Worksheet'!J14*'Prior year summary'!$F72</f>
        <v>16313.971799999999</v>
      </c>
      <c r="K7" s="8">
        <f>'Monthly Expense Worksheet'!K14*'Prior year summary'!$F72</f>
        <v>16313.971799999999</v>
      </c>
      <c r="L7" s="8">
        <f>'Monthly Expense Worksheet'!L14*'Prior year summary'!$F72</f>
        <v>16313.971799999999</v>
      </c>
      <c r="M7" s="8">
        <f>'Monthly Expense Worksheet'!M14*'Prior year summary'!$F72</f>
        <v>16313.971799999999</v>
      </c>
      <c r="N7" s="8">
        <f>'Monthly Expense Worksheet'!N14*'Prior year summary'!$F72</f>
        <v>16392.310199999978</v>
      </c>
      <c r="O7" s="8">
        <f>SUM(C7:N7)</f>
        <v>195845.99999999997</v>
      </c>
      <c r="P7" s="8">
        <f>'Prior year summary'!F72</f>
        <v>195846</v>
      </c>
    </row>
    <row r="8" spans="1:16" x14ac:dyDescent="0.25">
      <c r="B8" t="s">
        <v>165</v>
      </c>
      <c r="C8" s="8">
        <f>SUM($C7:C7)</f>
        <v>16313.971799999999</v>
      </c>
      <c r="D8" s="8">
        <f>SUM($C7:D7)</f>
        <v>32627.943599999999</v>
      </c>
      <c r="E8" s="8">
        <f>SUM($C7:E7)</f>
        <v>48941.915399999998</v>
      </c>
      <c r="F8" s="8">
        <f>SUM($C7:F7)</f>
        <v>65255.887199999997</v>
      </c>
      <c r="G8" s="8">
        <f>SUM($C7:G7)</f>
        <v>81569.858999999997</v>
      </c>
      <c r="H8" s="8">
        <f>SUM($C7:H7)</f>
        <v>97883.830799999996</v>
      </c>
      <c r="I8" s="8">
        <f>SUM($C7:I7)</f>
        <v>114197.8026</v>
      </c>
      <c r="J8" s="8">
        <f>SUM($C7:J7)</f>
        <v>130511.77439999999</v>
      </c>
      <c r="K8" s="8">
        <f>SUM($C7:K7)</f>
        <v>146825.74619999999</v>
      </c>
      <c r="L8" s="8">
        <f>SUM($C7:L7)</f>
        <v>163139.71799999999</v>
      </c>
      <c r="M8" s="8">
        <f>SUM($C7:M7)</f>
        <v>179453.68979999999</v>
      </c>
      <c r="N8" s="8">
        <f>SUM($C7:N7)</f>
        <v>195845.99999999997</v>
      </c>
      <c r="O8" s="8"/>
    </row>
    <row r="9" spans="1:16" x14ac:dyDescent="0.25">
      <c r="B9" t="s">
        <v>188</v>
      </c>
      <c r="C9" s="62"/>
      <c r="D9" s="62"/>
      <c r="E9" s="62"/>
      <c r="F9" s="62"/>
      <c r="G9" s="62"/>
      <c r="H9" s="62"/>
      <c r="I9" s="62"/>
      <c r="J9" s="62"/>
      <c r="K9" s="62"/>
      <c r="L9" s="62"/>
      <c r="M9" s="62"/>
      <c r="N9" s="62"/>
      <c r="O9" s="8"/>
      <c r="P9" s="8"/>
    </row>
    <row r="10" spans="1:16" x14ac:dyDescent="0.25">
      <c r="A10" t="str">
        <f>'Monthly Expense Worksheet'!A15</f>
        <v>Group Insurance</v>
      </c>
      <c r="B10" t="s">
        <v>164</v>
      </c>
      <c r="C10" s="8">
        <f>'Monthly Expense Worksheet'!C17*'Prior year summary'!$F73</f>
        <v>23486.364195000002</v>
      </c>
      <c r="D10" s="8">
        <f>'Monthly Expense Worksheet'!D17*'Prior year summary'!$F73</f>
        <v>23486.364195000002</v>
      </c>
      <c r="E10" s="8">
        <f>'Monthly Expense Worksheet'!E17*'Prior year summary'!$F73</f>
        <v>23486.364195000002</v>
      </c>
      <c r="F10" s="8">
        <f>'Monthly Expense Worksheet'!F17*'Prior year summary'!$F73</f>
        <v>23486.364195000002</v>
      </c>
      <c r="G10" s="8">
        <f>'Monthly Expense Worksheet'!G17*'Prior year summary'!$F73</f>
        <v>23486.364195000002</v>
      </c>
      <c r="H10" s="8">
        <f>'Monthly Expense Worksheet'!H17*'Prior year summary'!$F73</f>
        <v>23486.364195000002</v>
      </c>
      <c r="I10" s="8">
        <f>'Monthly Expense Worksheet'!I17*'Prior year summary'!$F73</f>
        <v>23486.364195000002</v>
      </c>
      <c r="J10" s="8">
        <f>'Monthly Expense Worksheet'!J17*'Prior year summary'!$F73</f>
        <v>23486.364195000002</v>
      </c>
      <c r="K10" s="8">
        <f>'Monthly Expense Worksheet'!K17*'Prior year summary'!$F73</f>
        <v>23486.364195000002</v>
      </c>
      <c r="L10" s="8">
        <f>'Monthly Expense Worksheet'!L17*'Prior year summary'!$F73</f>
        <v>23486.364195000002</v>
      </c>
      <c r="M10" s="8">
        <f>'Monthly Expense Worksheet'!M17*'Prior year summary'!$F73</f>
        <v>23486.364195000002</v>
      </c>
      <c r="N10" s="8">
        <f>'Monthly Expense Worksheet'!N17*'Prior year summary'!$F73</f>
        <v>23599.143854999969</v>
      </c>
      <c r="O10" s="8">
        <f>SUM(C10:N10)</f>
        <v>281949.14999999997</v>
      </c>
      <c r="P10" s="8">
        <f>'Prior year summary'!F73</f>
        <v>281949.15000000002</v>
      </c>
    </row>
    <row r="11" spans="1:16" x14ac:dyDescent="0.25">
      <c r="B11" t="s">
        <v>165</v>
      </c>
      <c r="C11" s="8">
        <f>SUM($C10:C10)</f>
        <v>23486.364195000002</v>
      </c>
      <c r="D11" s="8">
        <f>SUM($C10:D10)</f>
        <v>46972.728390000004</v>
      </c>
      <c r="E11" s="8">
        <f>SUM($C10:E10)</f>
        <v>70459.092585000006</v>
      </c>
      <c r="F11" s="8">
        <f>SUM($C10:F10)</f>
        <v>93945.456780000008</v>
      </c>
      <c r="G11" s="8">
        <f>SUM($C10:G10)</f>
        <v>117431.82097500001</v>
      </c>
      <c r="H11" s="8">
        <f>SUM($C10:H10)</f>
        <v>140918.18517000001</v>
      </c>
      <c r="I11" s="8">
        <f>SUM($C10:I10)</f>
        <v>164404.54936500001</v>
      </c>
      <c r="J11" s="8">
        <f>SUM($C10:J10)</f>
        <v>187890.91356000002</v>
      </c>
      <c r="K11" s="8">
        <f>SUM($C10:K10)</f>
        <v>211377.27775500002</v>
      </c>
      <c r="L11" s="8">
        <f>SUM($C10:L10)</f>
        <v>234863.64195000002</v>
      </c>
      <c r="M11" s="8">
        <f>SUM($C10:M10)</f>
        <v>258350.00614500002</v>
      </c>
      <c r="N11" s="8">
        <f>SUM($C10:N10)</f>
        <v>281949.14999999997</v>
      </c>
      <c r="O11" s="8"/>
    </row>
    <row r="12" spans="1:16" x14ac:dyDescent="0.25">
      <c r="B12" t="s">
        <v>188</v>
      </c>
      <c r="C12" s="62"/>
      <c r="D12" s="62"/>
      <c r="E12" s="62"/>
      <c r="F12" s="62"/>
      <c r="G12" s="62"/>
      <c r="H12" s="62"/>
      <c r="I12" s="62"/>
      <c r="J12" s="62"/>
      <c r="K12" s="62"/>
      <c r="L12" s="62"/>
      <c r="M12" s="62"/>
      <c r="N12" s="62"/>
      <c r="O12" s="8"/>
      <c r="P12" s="8"/>
    </row>
    <row r="13" spans="1:16" x14ac:dyDescent="0.25">
      <c r="A13" t="str">
        <f>'Monthly Expense Worksheet'!A18</f>
        <v>Retirement</v>
      </c>
      <c r="B13" t="s">
        <v>164</v>
      </c>
      <c r="C13" s="8">
        <f>'Monthly Expense Worksheet'!C20*'Prior year summary'!$F74</f>
        <v>15857.754360000001</v>
      </c>
      <c r="D13" s="8">
        <f>'Monthly Expense Worksheet'!D20*'Prior year summary'!$F74</f>
        <v>15857.754360000001</v>
      </c>
      <c r="E13" s="8">
        <f>'Monthly Expense Worksheet'!E20*'Prior year summary'!$F74</f>
        <v>15857.754360000001</v>
      </c>
      <c r="F13" s="8">
        <f>'Monthly Expense Worksheet'!F20*'Prior year summary'!$F74</f>
        <v>15857.754360000001</v>
      </c>
      <c r="G13" s="8">
        <f>'Monthly Expense Worksheet'!G20*'Prior year summary'!$F74</f>
        <v>15857.754360000001</v>
      </c>
      <c r="H13" s="8">
        <f>'Monthly Expense Worksheet'!H20*'Prior year summary'!$F74</f>
        <v>15857.754360000001</v>
      </c>
      <c r="I13" s="8">
        <f>'Monthly Expense Worksheet'!I20*'Prior year summary'!$F74</f>
        <v>15857.754360000001</v>
      </c>
      <c r="J13" s="8">
        <f>'Monthly Expense Worksheet'!J20*'Prior year summary'!$F74</f>
        <v>15857.754360000001</v>
      </c>
      <c r="K13" s="8">
        <f>'Monthly Expense Worksheet'!K20*'Prior year summary'!$F74</f>
        <v>15857.754360000001</v>
      </c>
      <c r="L13" s="8">
        <f>'Monthly Expense Worksheet'!L20*'Prior year summary'!$F74</f>
        <v>15857.754360000001</v>
      </c>
      <c r="M13" s="8">
        <f>'Monthly Expense Worksheet'!M20*'Prior year summary'!$F74</f>
        <v>15857.754360000001</v>
      </c>
      <c r="N13" s="8">
        <f>'Monthly Expense Worksheet'!N20*'Prior year summary'!$F74</f>
        <v>15933.902039999979</v>
      </c>
      <c r="O13" s="8">
        <f>SUM(C13:N13)</f>
        <v>190369.19999999998</v>
      </c>
      <c r="P13" s="8">
        <f>'Prior year summary'!F74</f>
        <v>190369.2</v>
      </c>
    </row>
    <row r="14" spans="1:16" x14ac:dyDescent="0.25">
      <c r="B14" t="s">
        <v>165</v>
      </c>
      <c r="C14" s="8">
        <f>SUM($C13:C13)</f>
        <v>15857.754360000001</v>
      </c>
      <c r="D14" s="8">
        <f>SUM($C13:D13)</f>
        <v>31715.508720000002</v>
      </c>
      <c r="E14" s="8">
        <f>SUM($C13:E13)</f>
        <v>47573.263080000004</v>
      </c>
      <c r="F14" s="8">
        <f>SUM($C13:F13)</f>
        <v>63431.017440000003</v>
      </c>
      <c r="G14" s="8">
        <f>SUM($C13:G13)</f>
        <v>79288.771800000002</v>
      </c>
      <c r="H14" s="8">
        <f>SUM($C13:H13)</f>
        <v>95146.526160000009</v>
      </c>
      <c r="I14" s="8">
        <f>SUM($C13:I13)</f>
        <v>111004.28052000001</v>
      </c>
      <c r="J14" s="8">
        <f>SUM($C13:J13)</f>
        <v>126862.03488000002</v>
      </c>
      <c r="K14" s="8">
        <f>SUM($C13:K13)</f>
        <v>142719.78924000001</v>
      </c>
      <c r="L14" s="8">
        <f>SUM($C13:L13)</f>
        <v>158577.5436</v>
      </c>
      <c r="M14" s="8">
        <f>SUM($C13:M13)</f>
        <v>174435.29796</v>
      </c>
      <c r="N14" s="8">
        <f>SUM($C13:N13)</f>
        <v>190369.19999999998</v>
      </c>
      <c r="O14" s="8"/>
    </row>
    <row r="15" spans="1:16" x14ac:dyDescent="0.25">
      <c r="B15" t="s">
        <v>188</v>
      </c>
      <c r="C15" s="62"/>
      <c r="D15" s="62"/>
      <c r="E15" s="62"/>
      <c r="F15" s="62"/>
      <c r="G15" s="62"/>
      <c r="H15" s="62"/>
      <c r="I15" s="62"/>
      <c r="J15" s="62"/>
      <c r="K15" s="62"/>
      <c r="L15" s="62"/>
      <c r="M15" s="62"/>
      <c r="N15" s="62"/>
      <c r="O15" s="8"/>
      <c r="P15" s="8"/>
    </row>
    <row r="16" spans="1:16" x14ac:dyDescent="0.25">
      <c r="A16" t="str">
        <f>'Monthly Expense Worksheet'!A21</f>
        <v>Contract labor</v>
      </c>
      <c r="B16" t="s">
        <v>164</v>
      </c>
      <c r="C16" s="8">
        <f>'Monthly Expense Worksheet'!C23*'Prior year summary'!$F75</f>
        <v>14083.701765000002</v>
      </c>
      <c r="D16" s="8">
        <f>'Monthly Expense Worksheet'!D23*'Prior year summary'!$F75</f>
        <v>14083.701765000002</v>
      </c>
      <c r="E16" s="8">
        <f>'Monthly Expense Worksheet'!E23*'Prior year summary'!$F75</f>
        <v>14083.701765000002</v>
      </c>
      <c r="F16" s="8">
        <f>'Monthly Expense Worksheet'!F23*'Prior year summary'!$F75</f>
        <v>14083.701765000002</v>
      </c>
      <c r="G16" s="8">
        <f>'Monthly Expense Worksheet'!G23*'Prior year summary'!$F75</f>
        <v>14083.701765000002</v>
      </c>
      <c r="H16" s="8">
        <f>'Monthly Expense Worksheet'!H23*'Prior year summary'!$F75</f>
        <v>14083.701765000002</v>
      </c>
      <c r="I16" s="8">
        <f>'Monthly Expense Worksheet'!I23*'Prior year summary'!$F75</f>
        <v>14083.701765000002</v>
      </c>
      <c r="J16" s="8">
        <f>'Monthly Expense Worksheet'!J23*'Prior year summary'!$F75</f>
        <v>14083.701765000002</v>
      </c>
      <c r="K16" s="8">
        <f>'Monthly Expense Worksheet'!K23*'Prior year summary'!$F75</f>
        <v>14083.701765000002</v>
      </c>
      <c r="L16" s="8">
        <f>'Monthly Expense Worksheet'!L23*'Prior year summary'!$F75</f>
        <v>14083.701765000002</v>
      </c>
      <c r="M16" s="8">
        <f>'Monthly Expense Worksheet'!M23*'Prior year summary'!$F75</f>
        <v>14083.701765000002</v>
      </c>
      <c r="N16" s="8">
        <f>'Monthly Expense Worksheet'!N23*'Prior year summary'!$F75</f>
        <v>14151.330584999982</v>
      </c>
      <c r="O16" s="8">
        <f>SUM(C16:N16)</f>
        <v>169072.05000000002</v>
      </c>
      <c r="P16" s="8">
        <f>'Prior year summary'!F75</f>
        <v>169072.05000000002</v>
      </c>
    </row>
    <row r="17" spans="1:16" x14ac:dyDescent="0.25">
      <c r="B17" t="s">
        <v>165</v>
      </c>
      <c r="C17" s="8">
        <f>SUM($C16:C16)</f>
        <v>14083.701765000002</v>
      </c>
      <c r="D17" s="8">
        <f>SUM($C16:D16)</f>
        <v>28167.403530000003</v>
      </c>
      <c r="E17" s="8">
        <f>SUM($C16:E16)</f>
        <v>42251.105295000001</v>
      </c>
      <c r="F17" s="8">
        <f>SUM($C16:F16)</f>
        <v>56334.807060000006</v>
      </c>
      <c r="G17" s="8">
        <f>SUM($C16:G16)</f>
        <v>70418.508825000012</v>
      </c>
      <c r="H17" s="8">
        <f>SUM($C16:H16)</f>
        <v>84502.210590000017</v>
      </c>
      <c r="I17" s="8">
        <f>SUM($C16:I16)</f>
        <v>98585.912355000022</v>
      </c>
      <c r="J17" s="8">
        <f>SUM($C16:J16)</f>
        <v>112669.61412000003</v>
      </c>
      <c r="K17" s="8">
        <f>SUM($C16:K16)</f>
        <v>126753.31588500003</v>
      </c>
      <c r="L17" s="8">
        <f>SUM($C16:L16)</f>
        <v>140837.01765000002</v>
      </c>
      <c r="M17" s="8">
        <f>SUM($C16:M16)</f>
        <v>154920.71941500003</v>
      </c>
      <c r="N17" s="8">
        <f>SUM($C16:N16)</f>
        <v>169072.05000000002</v>
      </c>
      <c r="O17" s="8"/>
    </row>
    <row r="18" spans="1:16" x14ac:dyDescent="0.25">
      <c r="B18" t="s">
        <v>188</v>
      </c>
      <c r="C18" s="62"/>
      <c r="D18" s="62"/>
      <c r="E18" s="62"/>
      <c r="F18" s="62"/>
      <c r="G18" s="62"/>
      <c r="H18" s="62"/>
      <c r="I18" s="62"/>
      <c r="J18" s="62"/>
      <c r="K18" s="62"/>
      <c r="L18" s="62"/>
      <c r="M18" s="62"/>
      <c r="N18" s="62"/>
      <c r="O18" s="8"/>
      <c r="P18" s="8"/>
    </row>
    <row r="19" spans="1:16" x14ac:dyDescent="0.25">
      <c r="A19" t="str">
        <f>'Monthly Expense Worksheet'!A24</f>
        <v>Comp absences</v>
      </c>
      <c r="B19" t="s">
        <v>164</v>
      </c>
      <c r="C19" s="8">
        <f>'Monthly Expense Worksheet'!C26*'Prior year summary'!$F76</f>
        <v>4732.3812900000003</v>
      </c>
      <c r="D19" s="8">
        <f>'Monthly Expense Worksheet'!D26*'Prior year summary'!$F76</f>
        <v>4732.3812900000003</v>
      </c>
      <c r="E19" s="8">
        <f>'Monthly Expense Worksheet'!E26*'Prior year summary'!$F76</f>
        <v>4732.3812900000003</v>
      </c>
      <c r="F19" s="8">
        <f>'Monthly Expense Worksheet'!F26*'Prior year summary'!$F76</f>
        <v>4732.3812900000003</v>
      </c>
      <c r="G19" s="8">
        <f>'Monthly Expense Worksheet'!G26*'Prior year summary'!$F76</f>
        <v>4732.3812900000003</v>
      </c>
      <c r="H19" s="8">
        <f>'Monthly Expense Worksheet'!H26*'Prior year summary'!$F76</f>
        <v>4732.3812900000003</v>
      </c>
      <c r="I19" s="8">
        <f>'Monthly Expense Worksheet'!I26*'Prior year summary'!$F76</f>
        <v>4732.3812900000003</v>
      </c>
      <c r="J19" s="8">
        <f>'Monthly Expense Worksheet'!J26*'Prior year summary'!$F76</f>
        <v>4732.3812900000003</v>
      </c>
      <c r="K19" s="8">
        <f>'Monthly Expense Worksheet'!K26*'Prior year summary'!$F76</f>
        <v>4732.3812900000003</v>
      </c>
      <c r="L19" s="8">
        <f>'Monthly Expense Worksheet'!L26*'Prior year summary'!$F76</f>
        <v>4732.3812900000003</v>
      </c>
      <c r="M19" s="8">
        <f>'Monthly Expense Worksheet'!M26*'Prior year summary'!$F76</f>
        <v>4732.3812900000003</v>
      </c>
      <c r="N19" s="8">
        <f>'Monthly Expense Worksheet'!N26*'Prior year summary'!$F76</f>
        <v>4755.1058099999937</v>
      </c>
      <c r="O19" s="8">
        <f>SUM(C19:N19)</f>
        <v>56811.299999999988</v>
      </c>
      <c r="P19" s="8">
        <f>'Prior year summary'!F76</f>
        <v>56811.3</v>
      </c>
    </row>
    <row r="20" spans="1:16" x14ac:dyDescent="0.25">
      <c r="B20" t="s">
        <v>165</v>
      </c>
      <c r="C20" s="8">
        <f>SUM($C19:C19)</f>
        <v>4732.3812900000003</v>
      </c>
      <c r="D20" s="8">
        <f>SUM($C19:D19)</f>
        <v>9464.7625800000005</v>
      </c>
      <c r="E20" s="8">
        <f>SUM($C19:E19)</f>
        <v>14197.14387</v>
      </c>
      <c r="F20" s="8">
        <f>SUM($C19:F19)</f>
        <v>18929.525160000001</v>
      </c>
      <c r="G20" s="8">
        <f>SUM($C19:G19)</f>
        <v>23661.906450000002</v>
      </c>
      <c r="H20" s="8">
        <f>SUM($C19:H19)</f>
        <v>28394.287740000003</v>
      </c>
      <c r="I20" s="8">
        <f>SUM($C19:I19)</f>
        <v>33126.669030000005</v>
      </c>
      <c r="J20" s="8">
        <f>SUM($C19:J19)</f>
        <v>37859.050320000002</v>
      </c>
      <c r="K20" s="8">
        <f>SUM($C19:K19)</f>
        <v>42591.43161</v>
      </c>
      <c r="L20" s="8">
        <f>SUM($C19:L19)</f>
        <v>47323.812899999997</v>
      </c>
      <c r="M20" s="8">
        <f>SUM($C19:M19)</f>
        <v>52056.194189999995</v>
      </c>
      <c r="N20" s="8">
        <f>SUM($C19:N19)</f>
        <v>56811.299999999988</v>
      </c>
      <c r="O20" s="8"/>
    </row>
    <row r="21" spans="1:16" x14ac:dyDescent="0.25">
      <c r="B21" t="s">
        <v>188</v>
      </c>
      <c r="C21" s="62"/>
      <c r="D21" s="62"/>
      <c r="E21" s="62"/>
      <c r="F21" s="62"/>
      <c r="G21" s="62"/>
      <c r="H21" s="62"/>
      <c r="I21" s="62"/>
      <c r="J21" s="62"/>
      <c r="K21" s="62"/>
      <c r="L21" s="62"/>
      <c r="M21" s="62"/>
      <c r="N21" s="62"/>
      <c r="O21" s="8"/>
      <c r="P21" s="8"/>
    </row>
    <row r="22" spans="1:16" x14ac:dyDescent="0.25">
      <c r="A22" t="str">
        <f>'Monthly Expense Worksheet'!A27</f>
        <v>Per exp 7</v>
      </c>
      <c r="B22" t="s">
        <v>164</v>
      </c>
      <c r="C22" s="8">
        <f>'Monthly Expense Worksheet'!C29*'Prior year summary'!$F77</f>
        <v>0</v>
      </c>
      <c r="D22" s="8">
        <f>'Monthly Expense Worksheet'!D29*'Prior year summary'!$F77</f>
        <v>0</v>
      </c>
      <c r="E22" s="8">
        <f>'Monthly Expense Worksheet'!E29*'Prior year summary'!$F77</f>
        <v>0</v>
      </c>
      <c r="F22" s="8">
        <f>'Monthly Expense Worksheet'!F29*'Prior year summary'!$F77</f>
        <v>0</v>
      </c>
      <c r="G22" s="8">
        <f>'Monthly Expense Worksheet'!G29*'Prior year summary'!$F77</f>
        <v>0</v>
      </c>
      <c r="H22" s="8">
        <f>'Monthly Expense Worksheet'!H29*'Prior year summary'!$F77</f>
        <v>0</v>
      </c>
      <c r="I22" s="8">
        <f>'Monthly Expense Worksheet'!I29*'Prior year summary'!$F77</f>
        <v>0</v>
      </c>
      <c r="J22" s="8">
        <f>'Monthly Expense Worksheet'!J29*'Prior year summary'!$F77</f>
        <v>0</v>
      </c>
      <c r="K22" s="8">
        <f>'Monthly Expense Worksheet'!K29*'Prior year summary'!$F77</f>
        <v>0</v>
      </c>
      <c r="L22" s="8">
        <f>'Monthly Expense Worksheet'!L29*'Prior year summary'!$F77</f>
        <v>0</v>
      </c>
      <c r="M22" s="8">
        <f>'Monthly Expense Worksheet'!M29*'Prior year summary'!$F77</f>
        <v>0</v>
      </c>
      <c r="N22" s="8">
        <f>'Monthly Expense Worksheet'!N29*'Prior year summary'!$F77</f>
        <v>0</v>
      </c>
      <c r="O22" s="8">
        <f>SUM(C22:N22)</f>
        <v>0</v>
      </c>
      <c r="P22" s="8">
        <f>'Prior year summary'!F77</f>
        <v>0</v>
      </c>
    </row>
    <row r="23" spans="1:16" x14ac:dyDescent="0.25">
      <c r="B23" t="s">
        <v>165</v>
      </c>
      <c r="C23" s="8">
        <f>SUM($C22:C22)</f>
        <v>0</v>
      </c>
      <c r="D23" s="8">
        <f>SUM($C22:D22)</f>
        <v>0</v>
      </c>
      <c r="E23" s="8">
        <f>SUM($C22:E22)</f>
        <v>0</v>
      </c>
      <c r="F23" s="8">
        <f>SUM($C22:F22)</f>
        <v>0</v>
      </c>
      <c r="G23" s="8">
        <f>SUM($C22:G22)</f>
        <v>0</v>
      </c>
      <c r="H23" s="8">
        <f>SUM($C22:H22)</f>
        <v>0</v>
      </c>
      <c r="I23" s="8">
        <f>SUM($C22:I22)</f>
        <v>0</v>
      </c>
      <c r="J23" s="8">
        <f>SUM($C22:J22)</f>
        <v>0</v>
      </c>
      <c r="K23" s="8">
        <f>SUM($C22:K22)</f>
        <v>0</v>
      </c>
      <c r="L23" s="8">
        <f>SUM($C22:L22)</f>
        <v>0</v>
      </c>
      <c r="M23" s="8">
        <f>SUM($C22:M22)</f>
        <v>0</v>
      </c>
      <c r="N23" s="8">
        <f>SUM($C22:N22)</f>
        <v>0</v>
      </c>
      <c r="O23" s="8"/>
    </row>
    <row r="24" spans="1:16" x14ac:dyDescent="0.25">
      <c r="B24" t="s">
        <v>188</v>
      </c>
      <c r="C24" s="62"/>
      <c r="D24" s="62"/>
      <c r="E24" s="62"/>
      <c r="F24" s="62"/>
      <c r="G24" s="62"/>
      <c r="H24" s="62"/>
      <c r="I24" s="62"/>
      <c r="J24" s="62"/>
      <c r="K24" s="62"/>
      <c r="L24" s="62"/>
      <c r="M24" s="62"/>
      <c r="N24" s="62"/>
      <c r="O24" s="8"/>
      <c r="P24" s="8"/>
    </row>
    <row r="25" spans="1:16" x14ac:dyDescent="0.25">
      <c r="A25" t="s">
        <v>187</v>
      </c>
      <c r="B25" t="s">
        <v>164</v>
      </c>
      <c r="C25" s="8">
        <f>SUM(C4,C7,C10,C13,C16,C19,C22,)</f>
        <v>195039.25307999999</v>
      </c>
      <c r="D25" s="8">
        <f t="shared" ref="D25:N25" si="0">SUM(D4,D7,D10,D13,D16,D19,D22,)</f>
        <v>195039.25307999999</v>
      </c>
      <c r="E25" s="8">
        <f t="shared" si="0"/>
        <v>195039.25307999999</v>
      </c>
      <c r="F25" s="8">
        <f t="shared" si="0"/>
        <v>195039.25307999999</v>
      </c>
      <c r="G25" s="8">
        <f t="shared" si="0"/>
        <v>195039.25307999999</v>
      </c>
      <c r="H25" s="8">
        <f t="shared" si="0"/>
        <v>195039.25307999999</v>
      </c>
      <c r="I25" s="8">
        <f t="shared" si="0"/>
        <v>195039.25307999999</v>
      </c>
      <c r="J25" s="8">
        <f t="shared" si="0"/>
        <v>195039.25307999999</v>
      </c>
      <c r="K25" s="8">
        <f t="shared" si="0"/>
        <v>195039.25307999999</v>
      </c>
      <c r="L25" s="8">
        <f t="shared" si="0"/>
        <v>195039.25307999999</v>
      </c>
      <c r="M25" s="8">
        <f t="shared" si="0"/>
        <v>195039.25307999999</v>
      </c>
      <c r="N25" s="8">
        <f t="shared" si="0"/>
        <v>195975.8161199998</v>
      </c>
      <c r="O25" s="8">
        <f t="shared" ref="D25:O26" si="1">SUM(O4,O7,O10,O13,O16,O19,O22,)</f>
        <v>2341407.5999999992</v>
      </c>
      <c r="P25" s="8">
        <f>'Prior year summary'!F78</f>
        <v>2341407.6</v>
      </c>
    </row>
    <row r="26" spans="1:16" x14ac:dyDescent="0.25">
      <c r="B26" t="s">
        <v>165</v>
      </c>
      <c r="C26" s="8">
        <f>SUM(C5,C8,C11,C14,C17,C20,C23,)</f>
        <v>195039.25307999999</v>
      </c>
      <c r="D26" s="8">
        <f t="shared" si="1"/>
        <v>390078.50615999999</v>
      </c>
      <c r="E26" s="8">
        <f t="shared" si="1"/>
        <v>585117.75924000016</v>
      </c>
      <c r="F26" s="8">
        <f t="shared" si="1"/>
        <v>780157.01231999998</v>
      </c>
      <c r="G26" s="8">
        <f t="shared" si="1"/>
        <v>975196.26540000015</v>
      </c>
      <c r="H26" s="8">
        <f t="shared" si="1"/>
        <v>1170235.5184800003</v>
      </c>
      <c r="I26" s="8">
        <f t="shared" si="1"/>
        <v>1365274.77156</v>
      </c>
      <c r="J26" s="8">
        <f t="shared" si="1"/>
        <v>1560314.02464</v>
      </c>
      <c r="K26" s="8">
        <f t="shared" si="1"/>
        <v>1755353.2777199999</v>
      </c>
      <c r="L26" s="8">
        <f t="shared" si="1"/>
        <v>1950392.5307999998</v>
      </c>
      <c r="M26" s="8">
        <f t="shared" si="1"/>
        <v>2145431.7838799995</v>
      </c>
      <c r="N26" s="8">
        <f t="shared" si="1"/>
        <v>2341407.5999999992</v>
      </c>
      <c r="O26" s="8">
        <f t="shared" si="1"/>
        <v>0</v>
      </c>
    </row>
    <row r="27" spans="1:16" x14ac:dyDescent="0.25">
      <c r="B27" t="s">
        <v>188</v>
      </c>
      <c r="C27" s="8">
        <f>SUM(C6,C9,C12,C15,C18,C21,C24,)</f>
        <v>0</v>
      </c>
      <c r="D27" s="8">
        <f t="shared" ref="D27:O27" si="2">SUM(D6,D9,D12,D15,D18,D21,D24,)</f>
        <v>0</v>
      </c>
      <c r="E27" s="8">
        <f t="shared" si="2"/>
        <v>0</v>
      </c>
      <c r="F27" s="8">
        <f t="shared" si="2"/>
        <v>0</v>
      </c>
      <c r="G27" s="8">
        <f t="shared" si="2"/>
        <v>0</v>
      </c>
      <c r="H27" s="8">
        <f t="shared" si="2"/>
        <v>0</v>
      </c>
      <c r="I27" s="8">
        <f t="shared" si="2"/>
        <v>0</v>
      </c>
      <c r="J27" s="8">
        <f t="shared" si="2"/>
        <v>0</v>
      </c>
      <c r="K27" s="8">
        <f t="shared" si="2"/>
        <v>0</v>
      </c>
      <c r="L27" s="8">
        <f t="shared" si="2"/>
        <v>0</v>
      </c>
      <c r="M27" s="8">
        <f t="shared" si="2"/>
        <v>0</v>
      </c>
      <c r="N27" s="8">
        <f t="shared" si="2"/>
        <v>0</v>
      </c>
      <c r="O27" s="8">
        <f t="shared" si="2"/>
        <v>0</v>
      </c>
      <c r="P27" s="8"/>
    </row>
    <row r="28" spans="1:16" x14ac:dyDescent="0.25">
      <c r="C28" s="8"/>
      <c r="D28" s="8"/>
      <c r="E28" s="8"/>
      <c r="F28" s="8"/>
      <c r="G28" s="8"/>
      <c r="H28" s="8"/>
      <c r="I28" s="8"/>
      <c r="J28" s="8"/>
      <c r="K28" s="8"/>
      <c r="L28" s="8"/>
      <c r="M28" s="8"/>
      <c r="N28" s="8"/>
      <c r="O28" s="8"/>
      <c r="P28" s="8"/>
    </row>
    <row r="29" spans="1:16" x14ac:dyDescent="0.25">
      <c r="C29" s="8"/>
      <c r="D29" s="8"/>
      <c r="E29" s="8"/>
      <c r="F29" s="8"/>
      <c r="G29" s="8"/>
      <c r="H29" s="8"/>
      <c r="I29" s="8"/>
      <c r="J29" s="8"/>
      <c r="K29" s="8"/>
      <c r="L29" s="8"/>
      <c r="M29" s="8"/>
      <c r="N29" s="8"/>
      <c r="O29" s="8"/>
      <c r="P29" s="8">
        <f>'Prior year summary'!F79</f>
        <v>0</v>
      </c>
    </row>
    <row r="30" spans="1:16" x14ac:dyDescent="0.25">
      <c r="C30" s="8"/>
      <c r="D30" s="8"/>
      <c r="E30" s="8"/>
      <c r="F30" s="8"/>
      <c r="G30" s="8"/>
      <c r="H30" s="8"/>
      <c r="I30" s="8"/>
      <c r="J30" s="8"/>
      <c r="K30" s="8"/>
      <c r="L30" s="8"/>
      <c r="M30" s="8"/>
      <c r="N30" s="8"/>
      <c r="O30" s="8"/>
    </row>
    <row r="31" spans="1:16" x14ac:dyDescent="0.25">
      <c r="A31" t="str">
        <f>'Monthly Expense Worksheet'!A36</f>
        <v>Depreciation</v>
      </c>
      <c r="B31" t="s">
        <v>164</v>
      </c>
      <c r="C31" s="8">
        <f>'Monthly Expense Worksheet'!C38*'Prior year summary'!$F80</f>
        <v>49179.237099999998</v>
      </c>
      <c r="D31" s="8">
        <f>'Monthly Expense Worksheet'!D38*'Prior year summary'!$F80</f>
        <v>49179.237099999998</v>
      </c>
      <c r="E31" s="8">
        <f>'Monthly Expense Worksheet'!E38*'Prior year summary'!$F80</f>
        <v>49179.237099999998</v>
      </c>
      <c r="F31" s="8">
        <f>'Monthly Expense Worksheet'!F38*'Prior year summary'!$F80</f>
        <v>49179.237099999998</v>
      </c>
      <c r="G31" s="8">
        <f>'Monthly Expense Worksheet'!G38*'Prior year summary'!$F80</f>
        <v>49179.237099999998</v>
      </c>
      <c r="H31" s="8">
        <f>'Monthly Expense Worksheet'!H38*'Prior year summary'!$F80</f>
        <v>49179.237099999998</v>
      </c>
      <c r="I31" s="8">
        <f>'Monthly Expense Worksheet'!I38*'Prior year summary'!$F80</f>
        <v>49179.237099999998</v>
      </c>
      <c r="J31" s="8">
        <f>'Monthly Expense Worksheet'!J38*'Prior year summary'!$F80</f>
        <v>49179.237099999998</v>
      </c>
      <c r="K31" s="8">
        <f>'Monthly Expense Worksheet'!K38*'Prior year summary'!$F80</f>
        <v>49179.237099999998</v>
      </c>
      <c r="L31" s="8">
        <f>'Monthly Expense Worksheet'!L38*'Prior year summary'!$F80</f>
        <v>49179.237099999998</v>
      </c>
      <c r="M31" s="8">
        <f>'Monthly Expense Worksheet'!M38*'Prior year summary'!$F80</f>
        <v>49179.237099999998</v>
      </c>
      <c r="N31" s="8">
        <f>'Monthly Expense Worksheet'!N38*'Prior year summary'!$F80</f>
        <v>49415.39189999993</v>
      </c>
      <c r="O31" s="8">
        <f>SUM(C31:N31)</f>
        <v>590387</v>
      </c>
      <c r="P31" s="8">
        <f>'Prior year summary'!F80</f>
        <v>590387</v>
      </c>
    </row>
    <row r="32" spans="1:16" x14ac:dyDescent="0.25">
      <c r="B32" t="s">
        <v>165</v>
      </c>
      <c r="C32" s="8">
        <f>SUM($C31:C31)</f>
        <v>49179.237099999998</v>
      </c>
      <c r="D32" s="8">
        <f>SUM($C31:D31)</f>
        <v>98358.474199999997</v>
      </c>
      <c r="E32" s="8">
        <f>SUM($C31:E31)</f>
        <v>147537.7113</v>
      </c>
      <c r="F32" s="8">
        <f>SUM($C31:F31)</f>
        <v>196716.94839999999</v>
      </c>
      <c r="G32" s="8">
        <f>SUM($C31:G31)</f>
        <v>245896.18549999999</v>
      </c>
      <c r="H32" s="8">
        <f>SUM($C31:H31)</f>
        <v>295075.42259999999</v>
      </c>
      <c r="I32" s="8">
        <f>SUM($C31:I31)</f>
        <v>344254.65969999996</v>
      </c>
      <c r="J32" s="8">
        <f>SUM($C31:J31)</f>
        <v>393433.89679999999</v>
      </c>
      <c r="K32" s="8">
        <f>SUM($C31:K31)</f>
        <v>442613.13390000002</v>
      </c>
      <c r="L32" s="8">
        <f>SUM($C31:L31)</f>
        <v>491792.37100000004</v>
      </c>
      <c r="M32" s="8">
        <f>SUM($C31:M31)</f>
        <v>540971.60810000007</v>
      </c>
      <c r="N32" s="8">
        <f>SUM($C31:N31)</f>
        <v>590387</v>
      </c>
      <c r="O32" s="8"/>
    </row>
    <row r="33" spans="1:16" x14ac:dyDescent="0.25">
      <c r="B33" t="s">
        <v>188</v>
      </c>
      <c r="C33" s="62"/>
      <c r="D33" s="62"/>
      <c r="E33" s="62"/>
      <c r="F33" s="62"/>
      <c r="G33" s="62"/>
      <c r="H33" s="62"/>
      <c r="I33" s="62"/>
      <c r="J33" s="62"/>
      <c r="K33" s="62"/>
      <c r="L33" s="62"/>
      <c r="M33" s="62"/>
      <c r="N33" s="62"/>
      <c r="O33" s="8"/>
      <c r="P33" s="8"/>
    </row>
    <row r="34" spans="1:16" x14ac:dyDescent="0.25">
      <c r="A34" t="str">
        <f>'Monthly Expense Worksheet'!A39</f>
        <v>Interest</v>
      </c>
      <c r="B34" t="s">
        <v>164</v>
      </c>
      <c r="C34" s="8">
        <f>'Monthly Expense Worksheet'!C41*'Prior year summary'!$F81</f>
        <v>2624.6163999999999</v>
      </c>
      <c r="D34" s="8">
        <f>'Monthly Expense Worksheet'!D41*'Prior year summary'!$F81</f>
        <v>2624.6163999999999</v>
      </c>
      <c r="E34" s="8">
        <f>'Monthly Expense Worksheet'!E41*'Prior year summary'!$F81</f>
        <v>2624.6163999999999</v>
      </c>
      <c r="F34" s="8">
        <f>'Monthly Expense Worksheet'!F41*'Prior year summary'!$F81</f>
        <v>2624.6163999999999</v>
      </c>
      <c r="G34" s="8">
        <f>'Monthly Expense Worksheet'!G41*'Prior year summary'!$F81</f>
        <v>2624.6163999999999</v>
      </c>
      <c r="H34" s="8">
        <f>'Monthly Expense Worksheet'!H41*'Prior year summary'!$F81</f>
        <v>2624.6163999999999</v>
      </c>
      <c r="I34" s="8">
        <f>'Monthly Expense Worksheet'!I41*'Prior year summary'!$F81</f>
        <v>2624.6163999999999</v>
      </c>
      <c r="J34" s="8">
        <f>'Monthly Expense Worksheet'!J41*'Prior year summary'!$F81</f>
        <v>2624.6163999999999</v>
      </c>
      <c r="K34" s="8">
        <f>'Monthly Expense Worksheet'!K41*'Prior year summary'!$F81</f>
        <v>2624.6163999999999</v>
      </c>
      <c r="L34" s="8">
        <f>'Monthly Expense Worksheet'!L41*'Prior year summary'!$F81</f>
        <v>2624.6163999999999</v>
      </c>
      <c r="M34" s="8">
        <f>'Monthly Expense Worksheet'!M41*'Prior year summary'!$F81</f>
        <v>2624.6163999999999</v>
      </c>
      <c r="N34" s="8">
        <f>'Monthly Expense Worksheet'!N41*'Prior year summary'!$F81</f>
        <v>2637.2195999999963</v>
      </c>
      <c r="O34" s="8">
        <f>SUM(C34:N34)</f>
        <v>31507.999999999989</v>
      </c>
      <c r="P34" s="8">
        <f>'Prior year summary'!F81</f>
        <v>31508</v>
      </c>
    </row>
    <row r="35" spans="1:16" x14ac:dyDescent="0.25">
      <c r="B35" t="s">
        <v>165</v>
      </c>
      <c r="C35" s="8">
        <f>SUM($C34:C34)</f>
        <v>2624.6163999999999</v>
      </c>
      <c r="D35" s="8">
        <f>SUM($C34:D34)</f>
        <v>5249.2327999999998</v>
      </c>
      <c r="E35" s="8">
        <f>SUM($C34:E34)</f>
        <v>7873.8491999999997</v>
      </c>
      <c r="F35" s="8">
        <f>SUM($C34:F34)</f>
        <v>10498.4656</v>
      </c>
      <c r="G35" s="8">
        <f>SUM($C34:G34)</f>
        <v>13123.081999999999</v>
      </c>
      <c r="H35" s="8">
        <f>SUM($C34:H34)</f>
        <v>15747.698399999997</v>
      </c>
      <c r="I35" s="8">
        <f>SUM($C34:I34)</f>
        <v>18372.314799999996</v>
      </c>
      <c r="J35" s="8">
        <f>SUM($C34:J34)</f>
        <v>20996.931199999995</v>
      </c>
      <c r="K35" s="8">
        <f>SUM($C34:K34)</f>
        <v>23621.547599999994</v>
      </c>
      <c r="L35" s="8">
        <f>SUM($C34:L34)</f>
        <v>26246.163999999993</v>
      </c>
      <c r="M35" s="8">
        <f>SUM($C34:M34)</f>
        <v>28870.780399999992</v>
      </c>
      <c r="N35" s="8">
        <f>SUM($C34:N34)</f>
        <v>31507.999999999989</v>
      </c>
      <c r="O35" s="8"/>
    </row>
    <row r="36" spans="1:16" x14ac:dyDescent="0.25">
      <c r="B36" t="s">
        <v>188</v>
      </c>
      <c r="C36" s="62"/>
      <c r="D36" s="62"/>
      <c r="E36" s="62"/>
      <c r="F36" s="62"/>
      <c r="G36" s="62"/>
      <c r="H36" s="62"/>
      <c r="I36" s="62"/>
      <c r="J36" s="62"/>
      <c r="K36" s="62"/>
      <c r="L36" s="62"/>
      <c r="M36" s="62"/>
      <c r="N36" s="62"/>
      <c r="O36" s="8"/>
      <c r="P36" s="8"/>
    </row>
    <row r="37" spans="1:16" x14ac:dyDescent="0.25">
      <c r="A37" t="str">
        <f>'Monthly Expense Worksheet'!A42</f>
        <v>Property Tax</v>
      </c>
      <c r="B37" t="s">
        <v>164</v>
      </c>
      <c r="C37" s="8">
        <f>'Monthly Expense Worksheet'!C44*'Prior year summary'!$F82</f>
        <v>9832.6486999999997</v>
      </c>
      <c r="D37" s="8">
        <f>'Monthly Expense Worksheet'!D44*'Prior year summary'!$F82</f>
        <v>9832.6486999999997</v>
      </c>
      <c r="E37" s="8">
        <f>'Monthly Expense Worksheet'!E44*'Prior year summary'!$F82</f>
        <v>9832.6486999999997</v>
      </c>
      <c r="F37" s="8">
        <f>'Monthly Expense Worksheet'!F44*'Prior year summary'!$F82</f>
        <v>9832.6486999999997</v>
      </c>
      <c r="G37" s="8">
        <f>'Monthly Expense Worksheet'!G44*'Prior year summary'!$F82</f>
        <v>9832.6486999999997</v>
      </c>
      <c r="H37" s="8">
        <f>'Monthly Expense Worksheet'!H44*'Prior year summary'!$F82</f>
        <v>9832.6486999999997</v>
      </c>
      <c r="I37" s="8">
        <f>'Monthly Expense Worksheet'!I44*'Prior year summary'!$F82</f>
        <v>9832.6486999999997</v>
      </c>
      <c r="J37" s="8">
        <f>'Monthly Expense Worksheet'!J44*'Prior year summary'!$F82</f>
        <v>9832.6486999999997</v>
      </c>
      <c r="K37" s="8">
        <f>'Monthly Expense Worksheet'!K44*'Prior year summary'!$F82</f>
        <v>9832.6486999999997</v>
      </c>
      <c r="L37" s="8">
        <f>'Monthly Expense Worksheet'!L44*'Prior year summary'!$F82</f>
        <v>9832.6486999999997</v>
      </c>
      <c r="M37" s="8">
        <f>'Monthly Expense Worksheet'!M44*'Prior year summary'!$F82</f>
        <v>9832.6486999999997</v>
      </c>
      <c r="N37" s="8">
        <f>'Monthly Expense Worksheet'!N44*'Prior year summary'!$F82</f>
        <v>9879.8642999999865</v>
      </c>
      <c r="O37" s="8">
        <f>SUM(C37:N37)</f>
        <v>118039</v>
      </c>
      <c r="P37" s="8">
        <f>'Prior year summary'!F82</f>
        <v>118039</v>
      </c>
    </row>
    <row r="38" spans="1:16" x14ac:dyDescent="0.25">
      <c r="B38" t="s">
        <v>165</v>
      </c>
      <c r="C38" s="8">
        <f>SUM($C37:C37)</f>
        <v>9832.6486999999997</v>
      </c>
      <c r="D38" s="8">
        <f>SUM($C37:D37)</f>
        <v>19665.297399999999</v>
      </c>
      <c r="E38" s="8">
        <f>SUM($C37:E37)</f>
        <v>29497.946100000001</v>
      </c>
      <c r="F38" s="8">
        <f>SUM($C37:F37)</f>
        <v>39330.594799999999</v>
      </c>
      <c r="G38" s="8">
        <f>SUM($C37:G37)</f>
        <v>49163.243499999997</v>
      </c>
      <c r="H38" s="8">
        <f>SUM($C37:H37)</f>
        <v>58995.892199999995</v>
      </c>
      <c r="I38" s="8">
        <f>SUM($C37:I37)</f>
        <v>68828.540899999993</v>
      </c>
      <c r="J38" s="8">
        <f>SUM($C37:J37)</f>
        <v>78661.189599999998</v>
      </c>
      <c r="K38" s="8">
        <f>SUM($C37:K37)</f>
        <v>88493.838300000003</v>
      </c>
      <c r="L38" s="8">
        <f>SUM($C37:L37)</f>
        <v>98326.487000000008</v>
      </c>
      <c r="M38" s="8">
        <f>SUM($C37:M37)</f>
        <v>108159.13570000001</v>
      </c>
      <c r="N38" s="8">
        <f>SUM($C37:N37)</f>
        <v>118039</v>
      </c>
      <c r="O38" s="8"/>
    </row>
    <row r="39" spans="1:16" x14ac:dyDescent="0.25">
      <c r="B39" t="s">
        <v>188</v>
      </c>
      <c r="C39" s="62"/>
      <c r="D39" s="62"/>
      <c r="E39" s="62"/>
      <c r="F39" s="62"/>
      <c r="G39" s="62"/>
      <c r="H39" s="62"/>
      <c r="I39" s="62"/>
      <c r="J39" s="62"/>
      <c r="K39" s="62"/>
      <c r="L39" s="62"/>
      <c r="M39" s="62"/>
      <c r="N39" s="62"/>
      <c r="O39" s="8"/>
      <c r="P39" s="8"/>
    </row>
    <row r="40" spans="1:16" x14ac:dyDescent="0.25">
      <c r="A40" t="str">
        <f>'Monthly Expense Worksheet'!A45</f>
        <v>Insurance</v>
      </c>
      <c r="B40" t="s">
        <v>164</v>
      </c>
      <c r="C40" s="8">
        <f>'Monthly Expense Worksheet'!C47*'Prior year summary'!$F83</f>
        <v>17299.410800000001</v>
      </c>
      <c r="D40" s="8">
        <f>'Monthly Expense Worksheet'!D47*'Prior year summary'!$F83</f>
        <v>17299.410800000001</v>
      </c>
      <c r="E40" s="8">
        <f>'Monthly Expense Worksheet'!E47*'Prior year summary'!$F83</f>
        <v>17299.410800000001</v>
      </c>
      <c r="F40" s="8">
        <f>'Monthly Expense Worksheet'!F47*'Prior year summary'!$F83</f>
        <v>17299.410800000001</v>
      </c>
      <c r="G40" s="8">
        <f>'Monthly Expense Worksheet'!G47*'Prior year summary'!$F83</f>
        <v>17299.410800000001</v>
      </c>
      <c r="H40" s="8">
        <f>'Monthly Expense Worksheet'!H47*'Prior year summary'!$F83</f>
        <v>17299.410800000001</v>
      </c>
      <c r="I40" s="8">
        <f>'Monthly Expense Worksheet'!I47*'Prior year summary'!$F83</f>
        <v>17299.410800000001</v>
      </c>
      <c r="J40" s="8">
        <f>'Monthly Expense Worksheet'!J47*'Prior year summary'!$F83</f>
        <v>17299.410800000001</v>
      </c>
      <c r="K40" s="8">
        <f>'Monthly Expense Worksheet'!K47*'Prior year summary'!$F83</f>
        <v>17299.410800000001</v>
      </c>
      <c r="L40" s="8">
        <f>'Monthly Expense Worksheet'!L47*'Prior year summary'!$F83</f>
        <v>17299.410800000001</v>
      </c>
      <c r="M40" s="8">
        <f>'Monthly Expense Worksheet'!M47*'Prior year summary'!$F83</f>
        <v>17299.410800000001</v>
      </c>
      <c r="N40" s="8">
        <f>'Monthly Expense Worksheet'!N47*'Prior year summary'!$F83</f>
        <v>17382.481199999977</v>
      </c>
      <c r="O40" s="8">
        <f>SUM(C40:N40)</f>
        <v>207676.00000000003</v>
      </c>
      <c r="P40" s="8">
        <f>'Prior year summary'!F83</f>
        <v>207676</v>
      </c>
    </row>
    <row r="41" spans="1:16" x14ac:dyDescent="0.25">
      <c r="B41" t="s">
        <v>165</v>
      </c>
      <c r="C41" s="8">
        <f>SUM($C40:C40)</f>
        <v>17299.410800000001</v>
      </c>
      <c r="D41" s="8">
        <f>SUM($C40:D40)</f>
        <v>34598.821600000003</v>
      </c>
      <c r="E41" s="8">
        <f>SUM($C40:E40)</f>
        <v>51898.232400000008</v>
      </c>
      <c r="F41" s="8">
        <f>SUM($C40:F40)</f>
        <v>69197.643200000006</v>
      </c>
      <c r="G41" s="8">
        <f>SUM($C40:G40)</f>
        <v>86497.054000000004</v>
      </c>
      <c r="H41" s="8">
        <f>SUM($C40:H40)</f>
        <v>103796.4648</v>
      </c>
      <c r="I41" s="8">
        <f>SUM($C40:I40)</f>
        <v>121095.8756</v>
      </c>
      <c r="J41" s="8">
        <f>SUM($C40:J40)</f>
        <v>138395.28640000001</v>
      </c>
      <c r="K41" s="8">
        <f>SUM($C40:K40)</f>
        <v>155694.69720000002</v>
      </c>
      <c r="L41" s="8">
        <f>SUM($C40:L40)</f>
        <v>172994.10800000004</v>
      </c>
      <c r="M41" s="8">
        <f>SUM($C40:M40)</f>
        <v>190293.51880000005</v>
      </c>
      <c r="N41" s="8">
        <f>SUM($C40:N40)</f>
        <v>207676.00000000003</v>
      </c>
      <c r="O41" s="8"/>
    </row>
    <row r="42" spans="1:16" x14ac:dyDescent="0.25">
      <c r="B42" t="s">
        <v>188</v>
      </c>
      <c r="C42" s="62"/>
      <c r="D42" s="62"/>
      <c r="E42" s="62"/>
      <c r="F42" s="62"/>
      <c r="G42" s="62"/>
      <c r="H42" s="62"/>
      <c r="I42" s="62"/>
      <c r="J42" s="62"/>
      <c r="K42" s="62"/>
      <c r="L42" s="62"/>
      <c r="M42" s="62"/>
      <c r="N42" s="62"/>
      <c r="O42" s="8"/>
      <c r="P42" s="8"/>
    </row>
    <row r="43" spans="1:16" x14ac:dyDescent="0.25">
      <c r="A43" t="str">
        <f>'Monthly Expense Worksheet'!A48</f>
        <v>Fixed 5</v>
      </c>
      <c r="B43" t="s">
        <v>164</v>
      </c>
      <c r="C43" s="8">
        <f>'Monthly Expense Worksheet'!C50*'Prior year summary'!$F84</f>
        <v>0</v>
      </c>
      <c r="D43" s="8">
        <f>'Monthly Expense Worksheet'!D50*'Prior year summary'!$F84</f>
        <v>0</v>
      </c>
      <c r="E43" s="8">
        <f>'Monthly Expense Worksheet'!E50*'Prior year summary'!$F84</f>
        <v>0</v>
      </c>
      <c r="F43" s="8">
        <f>'Monthly Expense Worksheet'!F50*'Prior year summary'!$F84</f>
        <v>0</v>
      </c>
      <c r="G43" s="8">
        <f>'Monthly Expense Worksheet'!G50*'Prior year summary'!$F84</f>
        <v>0</v>
      </c>
      <c r="H43" s="8">
        <f>'Monthly Expense Worksheet'!H50*'Prior year summary'!$F84</f>
        <v>0</v>
      </c>
      <c r="I43" s="8">
        <f>'Monthly Expense Worksheet'!I50*'Prior year summary'!$F84</f>
        <v>0</v>
      </c>
      <c r="J43" s="8">
        <f>'Monthly Expense Worksheet'!J50*'Prior year summary'!$F84</f>
        <v>0</v>
      </c>
      <c r="K43" s="8">
        <f>'Monthly Expense Worksheet'!K50*'Prior year summary'!$F84</f>
        <v>0</v>
      </c>
      <c r="L43" s="8">
        <f>'Monthly Expense Worksheet'!L50*'Prior year summary'!$F84</f>
        <v>0</v>
      </c>
      <c r="M43" s="8">
        <f>'Monthly Expense Worksheet'!M50*'Prior year summary'!$F84</f>
        <v>0</v>
      </c>
      <c r="N43" s="8">
        <f>'Monthly Expense Worksheet'!N50*'Prior year summary'!$F84</f>
        <v>0</v>
      </c>
      <c r="O43" s="8">
        <f>SUM(C43:N43)</f>
        <v>0</v>
      </c>
      <c r="P43" s="8">
        <f>'Prior year summary'!F84</f>
        <v>0</v>
      </c>
    </row>
    <row r="44" spans="1:16" x14ac:dyDescent="0.25">
      <c r="B44" t="s">
        <v>165</v>
      </c>
      <c r="C44" s="8">
        <f>SUM($C43:C43)</f>
        <v>0</v>
      </c>
      <c r="D44" s="8">
        <f>SUM($C43:D43)</f>
        <v>0</v>
      </c>
      <c r="E44" s="8">
        <f>SUM($C43:E43)</f>
        <v>0</v>
      </c>
      <c r="F44" s="8">
        <f>SUM($C43:F43)</f>
        <v>0</v>
      </c>
      <c r="G44" s="8">
        <f>SUM($C43:G43)</f>
        <v>0</v>
      </c>
      <c r="H44" s="8">
        <f>SUM($C43:H43)</f>
        <v>0</v>
      </c>
      <c r="I44" s="8">
        <f>SUM($C43:I43)</f>
        <v>0</v>
      </c>
      <c r="J44" s="8">
        <f>SUM($C43:J43)</f>
        <v>0</v>
      </c>
      <c r="K44" s="8">
        <f>SUM($C43:K43)</f>
        <v>0</v>
      </c>
      <c r="L44" s="8">
        <f>SUM($C43:L43)</f>
        <v>0</v>
      </c>
      <c r="M44" s="8">
        <f>SUM($C43:M43)</f>
        <v>0</v>
      </c>
      <c r="N44" s="8">
        <f>SUM($C43:N43)</f>
        <v>0</v>
      </c>
      <c r="O44" s="8"/>
    </row>
    <row r="45" spans="1:16" x14ac:dyDescent="0.25">
      <c r="B45" t="s">
        <v>188</v>
      </c>
      <c r="C45" s="62"/>
      <c r="D45" s="62"/>
      <c r="E45" s="62"/>
      <c r="F45" s="62"/>
      <c r="G45" s="62"/>
      <c r="H45" s="62"/>
      <c r="I45" s="62"/>
      <c r="J45" s="62"/>
      <c r="K45" s="62"/>
      <c r="L45" s="62"/>
      <c r="M45" s="62"/>
      <c r="N45" s="62"/>
      <c r="O45" s="8"/>
      <c r="P45" s="8"/>
    </row>
    <row r="46" spans="1:16" x14ac:dyDescent="0.25">
      <c r="A46" t="str">
        <f>'Monthly Expense Worksheet'!A51</f>
        <v>TOTAL FIXED</v>
      </c>
      <c r="B46" t="s">
        <v>164</v>
      </c>
      <c r="C46" s="8">
        <f>'Monthly Expense Worksheet'!C53*'Prior year summary'!$F85</f>
        <v>78935.913</v>
      </c>
      <c r="D46" s="8">
        <f>'Monthly Expense Worksheet'!D53*'Prior year summary'!$F85</f>
        <v>78935.913</v>
      </c>
      <c r="E46" s="8">
        <f>'Monthly Expense Worksheet'!E53*'Prior year summary'!$F85</f>
        <v>78935.913</v>
      </c>
      <c r="F46" s="8">
        <f>'Monthly Expense Worksheet'!F53*'Prior year summary'!$F85</f>
        <v>78935.913</v>
      </c>
      <c r="G46" s="8">
        <f>'Monthly Expense Worksheet'!G53*'Prior year summary'!$F85</f>
        <v>78935.913</v>
      </c>
      <c r="H46" s="8">
        <f>'Monthly Expense Worksheet'!H53*'Prior year summary'!$F85</f>
        <v>78935.913</v>
      </c>
      <c r="I46" s="8">
        <f>'Monthly Expense Worksheet'!I53*'Prior year summary'!$F85</f>
        <v>78935.913</v>
      </c>
      <c r="J46" s="8">
        <f>'Monthly Expense Worksheet'!J53*'Prior year summary'!$F85</f>
        <v>78935.913</v>
      </c>
      <c r="K46" s="8">
        <f>'Monthly Expense Worksheet'!K53*'Prior year summary'!$F85</f>
        <v>78935.913</v>
      </c>
      <c r="L46" s="8">
        <f>'Monthly Expense Worksheet'!L53*'Prior year summary'!$F85</f>
        <v>78935.913</v>
      </c>
      <c r="M46" s="8">
        <f>'Monthly Expense Worksheet'!M53*'Prior year summary'!$F85</f>
        <v>78935.913</v>
      </c>
      <c r="N46" s="8">
        <f>'Monthly Expense Worksheet'!N53*'Prior year summary'!$F85</f>
        <v>79314.956999999893</v>
      </c>
      <c r="O46" s="8">
        <f>'Monthly Expense Worksheet'!O53*'Prior year summary'!$F85</f>
        <v>947610</v>
      </c>
      <c r="P46" s="8">
        <f>'Prior year summary'!F85</f>
        <v>947610</v>
      </c>
    </row>
    <row r="47" spans="1:16" x14ac:dyDescent="0.25">
      <c r="B47" t="s">
        <v>165</v>
      </c>
      <c r="C47" s="8">
        <f>SUM($C46:C46)</f>
        <v>78935.913</v>
      </c>
      <c r="D47" s="8">
        <f>SUM($C46:D46)</f>
        <v>157871.826</v>
      </c>
      <c r="E47" s="8">
        <f>SUM($C46:E46)</f>
        <v>236807.739</v>
      </c>
      <c r="F47" s="8">
        <f>SUM($C46:F46)</f>
        <v>315743.652</v>
      </c>
      <c r="G47" s="8">
        <f>SUM($C46:G46)</f>
        <v>394679.565</v>
      </c>
      <c r="H47" s="8">
        <f>SUM($C46:H46)</f>
        <v>473615.478</v>
      </c>
      <c r="I47" s="8">
        <f>SUM($C46:I46)</f>
        <v>552551.39100000006</v>
      </c>
      <c r="J47" s="8">
        <f>SUM($C46:J46)</f>
        <v>631487.304</v>
      </c>
      <c r="K47" s="8">
        <f>SUM($C46:K46)</f>
        <v>710423.21699999995</v>
      </c>
      <c r="L47" s="8">
        <f>SUM($C46:L46)</f>
        <v>789359.12999999989</v>
      </c>
      <c r="M47" s="8">
        <f>SUM($C46:M46)</f>
        <v>868295.04299999983</v>
      </c>
      <c r="N47" s="8">
        <f>SUM($C46:N46)</f>
        <v>947609.99999999977</v>
      </c>
      <c r="O47" s="8"/>
    </row>
    <row r="48" spans="1:16" x14ac:dyDescent="0.25">
      <c r="B48" t="s">
        <v>188</v>
      </c>
      <c r="C48" s="62"/>
      <c r="D48" s="62"/>
      <c r="E48" s="62"/>
      <c r="F48" s="62"/>
      <c r="G48" s="62"/>
      <c r="H48" s="62"/>
      <c r="I48" s="62"/>
      <c r="J48" s="62"/>
      <c r="K48" s="62"/>
      <c r="L48" s="62"/>
      <c r="M48" s="62"/>
      <c r="N48" s="62"/>
      <c r="O48" s="8"/>
      <c r="P48" s="8"/>
    </row>
    <row r="49" spans="1:16" x14ac:dyDescent="0.25">
      <c r="A49">
        <f>'Monthly Expense Worksheet'!A54</f>
        <v>0</v>
      </c>
      <c r="B49" t="s">
        <v>164</v>
      </c>
      <c r="C49" s="8">
        <f>'Monthly Expense Worksheet'!C56*'Prior year summary'!$F86</f>
        <v>0</v>
      </c>
      <c r="D49" s="8">
        <f>'Monthly Expense Worksheet'!D56*'Prior year summary'!$F86</f>
        <v>0</v>
      </c>
      <c r="E49" s="8">
        <f>'Monthly Expense Worksheet'!E56*'Prior year summary'!$F86</f>
        <v>0</v>
      </c>
      <c r="F49" s="8">
        <f>'Monthly Expense Worksheet'!F56*'Prior year summary'!$F86</f>
        <v>0</v>
      </c>
      <c r="G49" s="8">
        <f>'Monthly Expense Worksheet'!G56*'Prior year summary'!$F86</f>
        <v>0</v>
      </c>
      <c r="H49" s="8">
        <f>'Monthly Expense Worksheet'!H56*'Prior year summary'!$F86</f>
        <v>0</v>
      </c>
      <c r="I49" s="8">
        <f>'Monthly Expense Worksheet'!I56*'Prior year summary'!$F86</f>
        <v>0</v>
      </c>
      <c r="J49" s="8">
        <f>'Monthly Expense Worksheet'!J56*'Prior year summary'!$F86</f>
        <v>0</v>
      </c>
      <c r="K49" s="8">
        <f>'Monthly Expense Worksheet'!K56*'Prior year summary'!$F86</f>
        <v>0</v>
      </c>
      <c r="L49" s="8">
        <f>'Monthly Expense Worksheet'!L56*'Prior year summary'!$F86</f>
        <v>0</v>
      </c>
      <c r="M49" s="8">
        <f>'Monthly Expense Worksheet'!M56*'Prior year summary'!$F86</f>
        <v>0</v>
      </c>
      <c r="N49" s="8">
        <f>'Monthly Expense Worksheet'!N56*'Prior year summary'!$F86</f>
        <v>0</v>
      </c>
      <c r="O49" s="8">
        <f>SUM(C49:N49)</f>
        <v>0</v>
      </c>
      <c r="P49" s="8">
        <f>'Prior year summary'!F86</f>
        <v>0</v>
      </c>
    </row>
    <row r="50" spans="1:16" x14ac:dyDescent="0.25">
      <c r="B50" t="s">
        <v>165</v>
      </c>
      <c r="C50" s="8">
        <f>SUM($C49:C49)</f>
        <v>0</v>
      </c>
      <c r="D50" s="8">
        <f>SUM($C49:D49)</f>
        <v>0</v>
      </c>
      <c r="E50" s="8">
        <f>SUM($C49:E49)</f>
        <v>0</v>
      </c>
      <c r="F50" s="8">
        <f>SUM($C49:F49)</f>
        <v>0</v>
      </c>
      <c r="G50" s="8">
        <f>SUM($C49:G49)</f>
        <v>0</v>
      </c>
      <c r="H50" s="8">
        <f>SUM($C49:H49)</f>
        <v>0</v>
      </c>
      <c r="I50" s="8">
        <f>SUM($C49:I49)</f>
        <v>0</v>
      </c>
      <c r="J50" s="8">
        <f>SUM($C49:J49)</f>
        <v>0</v>
      </c>
      <c r="K50" s="8">
        <f>SUM($C49:K49)</f>
        <v>0</v>
      </c>
      <c r="L50" s="8">
        <f>SUM($C49:L49)</f>
        <v>0</v>
      </c>
      <c r="M50" s="8">
        <f>SUM($C49:M49)</f>
        <v>0</v>
      </c>
      <c r="N50" s="8">
        <f>SUM($C49:N49)</f>
        <v>0</v>
      </c>
      <c r="O50" s="8"/>
    </row>
    <row r="51" spans="1:16" x14ac:dyDescent="0.25">
      <c r="B51" t="s">
        <v>188</v>
      </c>
      <c r="C51" s="62"/>
      <c r="D51" s="62"/>
      <c r="E51" s="62"/>
      <c r="F51" s="62"/>
      <c r="G51" s="62"/>
      <c r="H51" s="62"/>
      <c r="I51" s="62"/>
      <c r="J51" s="62"/>
      <c r="K51" s="62"/>
      <c r="L51" s="62"/>
      <c r="M51" s="62"/>
      <c r="N51" s="62"/>
      <c r="O51" s="8"/>
      <c r="P51" s="8"/>
    </row>
    <row r="52" spans="1:16" x14ac:dyDescent="0.25">
      <c r="A52" t="str">
        <f>'Monthly Expense Worksheet'!A57</f>
        <v>Annual meeting</v>
      </c>
      <c r="B52" t="s">
        <v>164</v>
      </c>
      <c r="C52" s="8">
        <f>'Monthly Expense Worksheet'!C59*'Prior year summary'!$F87</f>
        <v>751.78250000000003</v>
      </c>
      <c r="D52" s="8">
        <f>'Monthly Expense Worksheet'!D59*'Prior year summary'!$F87</f>
        <v>751.78250000000003</v>
      </c>
      <c r="E52" s="8">
        <f>'Monthly Expense Worksheet'!E59*'Prior year summary'!$F87</f>
        <v>751.78250000000003</v>
      </c>
      <c r="F52" s="8">
        <f>'Monthly Expense Worksheet'!F59*'Prior year summary'!$F87</f>
        <v>751.78250000000003</v>
      </c>
      <c r="G52" s="8">
        <f>'Monthly Expense Worksheet'!G59*'Prior year summary'!$F87</f>
        <v>751.78250000000003</v>
      </c>
      <c r="H52" s="8">
        <f>'Monthly Expense Worksheet'!H59*'Prior year summary'!$F87</f>
        <v>751.78250000000003</v>
      </c>
      <c r="I52" s="8">
        <f>'Monthly Expense Worksheet'!I59*'Prior year summary'!$F87</f>
        <v>751.78250000000003</v>
      </c>
      <c r="J52" s="8">
        <f>'Monthly Expense Worksheet'!J59*'Prior year summary'!$F87</f>
        <v>751.78250000000003</v>
      </c>
      <c r="K52" s="8">
        <f>'Monthly Expense Worksheet'!K59*'Prior year summary'!$F87</f>
        <v>751.78250000000003</v>
      </c>
      <c r="L52" s="8">
        <f>'Monthly Expense Worksheet'!L59*'Prior year summary'!$F87</f>
        <v>751.78250000000003</v>
      </c>
      <c r="M52" s="8">
        <f>'Monthly Expense Worksheet'!M59*'Prior year summary'!$F87</f>
        <v>751.78250000000003</v>
      </c>
      <c r="N52" s="8">
        <f>'Monthly Expense Worksheet'!N59*'Prior year summary'!$F87</f>
        <v>755.39249999999902</v>
      </c>
      <c r="O52" s="8">
        <f>SUM(C52:N52)</f>
        <v>9025</v>
      </c>
      <c r="P52" s="8">
        <f>'Prior year summary'!F87</f>
        <v>9025</v>
      </c>
    </row>
    <row r="53" spans="1:16" x14ac:dyDescent="0.25">
      <c r="B53" t="s">
        <v>165</v>
      </c>
      <c r="C53" s="8">
        <f>SUM($C52:C52)</f>
        <v>751.78250000000003</v>
      </c>
      <c r="D53" s="8">
        <f>SUM($C52:D52)</f>
        <v>1503.5650000000001</v>
      </c>
      <c r="E53" s="8">
        <f>SUM($C52:E52)</f>
        <v>2255.3474999999999</v>
      </c>
      <c r="F53" s="8">
        <f>SUM($C52:F52)</f>
        <v>3007.13</v>
      </c>
      <c r="G53" s="8">
        <f>SUM($C52:G52)</f>
        <v>3758.9125000000004</v>
      </c>
      <c r="H53" s="8">
        <f>SUM($C52:H52)</f>
        <v>4510.6950000000006</v>
      </c>
      <c r="I53" s="8">
        <f>SUM($C52:I52)</f>
        <v>5262.4775000000009</v>
      </c>
      <c r="J53" s="8">
        <f>SUM($C52:J52)</f>
        <v>6014.2600000000011</v>
      </c>
      <c r="K53" s="8">
        <f>SUM($C52:K52)</f>
        <v>6766.0425000000014</v>
      </c>
      <c r="L53" s="8">
        <f>SUM($C52:L52)</f>
        <v>7517.8250000000016</v>
      </c>
      <c r="M53" s="8">
        <f>SUM($C52:M52)</f>
        <v>8269.6075000000019</v>
      </c>
      <c r="N53" s="8">
        <f>SUM($C52:N52)</f>
        <v>9025</v>
      </c>
      <c r="O53" s="8"/>
    </row>
    <row r="54" spans="1:16" x14ac:dyDescent="0.25">
      <c r="B54" t="s">
        <v>188</v>
      </c>
      <c r="C54" s="62"/>
      <c r="D54" s="62"/>
      <c r="E54" s="62"/>
      <c r="F54" s="62"/>
      <c r="G54" s="62"/>
      <c r="H54" s="62"/>
      <c r="I54" s="62"/>
      <c r="J54" s="62"/>
      <c r="K54" s="62"/>
      <c r="L54" s="62"/>
      <c r="M54" s="62"/>
      <c r="N54" s="62"/>
      <c r="O54" s="8"/>
      <c r="P54" s="8"/>
    </row>
    <row r="55" spans="1:16" x14ac:dyDescent="0.25">
      <c r="A55" t="str">
        <f>'Monthly Expense Worksheet'!A60</f>
        <v>Director fees</v>
      </c>
      <c r="B55" t="s">
        <v>164</v>
      </c>
      <c r="C55" s="8">
        <f>'Monthly Expense Worksheet'!C62*'Prior year summary'!$F88</f>
        <v>748.53380000000004</v>
      </c>
      <c r="D55" s="8">
        <f>'Monthly Expense Worksheet'!D62*'Prior year summary'!$F88</f>
        <v>748.53380000000004</v>
      </c>
      <c r="E55" s="8">
        <f>'Monthly Expense Worksheet'!E62*'Prior year summary'!$F88</f>
        <v>748.53380000000004</v>
      </c>
      <c r="F55" s="8">
        <f>'Monthly Expense Worksheet'!F62*'Prior year summary'!$F88</f>
        <v>748.53380000000004</v>
      </c>
      <c r="G55" s="8">
        <f>'Monthly Expense Worksheet'!G62*'Prior year summary'!$F88</f>
        <v>748.53380000000004</v>
      </c>
      <c r="H55" s="8">
        <f>'Monthly Expense Worksheet'!H62*'Prior year summary'!$F88</f>
        <v>748.53380000000004</v>
      </c>
      <c r="I55" s="8">
        <f>'Monthly Expense Worksheet'!I62*'Prior year summary'!$F88</f>
        <v>748.53380000000004</v>
      </c>
      <c r="J55" s="8">
        <f>'Monthly Expense Worksheet'!J62*'Prior year summary'!$F88</f>
        <v>748.53380000000004</v>
      </c>
      <c r="K55" s="8">
        <f>'Monthly Expense Worksheet'!K62*'Prior year summary'!$F88</f>
        <v>748.53380000000004</v>
      </c>
      <c r="L55" s="8">
        <f>'Monthly Expense Worksheet'!L62*'Prior year summary'!$F88</f>
        <v>748.53380000000004</v>
      </c>
      <c r="M55" s="8">
        <f>'Monthly Expense Worksheet'!M62*'Prior year summary'!$F88</f>
        <v>748.53380000000004</v>
      </c>
      <c r="N55" s="8">
        <f>'Monthly Expense Worksheet'!N62*'Prior year summary'!$F88</f>
        <v>752.12819999999897</v>
      </c>
      <c r="O55" s="8">
        <f>SUM(C55:N55)</f>
        <v>8986</v>
      </c>
      <c r="P55" s="8">
        <f>'Prior year summary'!F88</f>
        <v>8986</v>
      </c>
    </row>
    <row r="56" spans="1:16" x14ac:dyDescent="0.25">
      <c r="B56" t="s">
        <v>165</v>
      </c>
      <c r="C56" s="8">
        <f>SUM($C55:C55)</f>
        <v>748.53380000000004</v>
      </c>
      <c r="D56" s="8">
        <f>SUM($C55:D55)</f>
        <v>1497.0676000000001</v>
      </c>
      <c r="E56" s="8">
        <f>SUM($C55:E55)</f>
        <v>2245.6014</v>
      </c>
      <c r="F56" s="8">
        <f>SUM($C55:F55)</f>
        <v>2994.1352000000002</v>
      </c>
      <c r="G56" s="8">
        <f>SUM($C55:G55)</f>
        <v>3742.6690000000003</v>
      </c>
      <c r="H56" s="8">
        <f>SUM($C55:H55)</f>
        <v>4491.2028</v>
      </c>
      <c r="I56" s="8">
        <f>SUM($C55:I55)</f>
        <v>5239.7366000000002</v>
      </c>
      <c r="J56" s="8">
        <f>SUM($C55:J55)</f>
        <v>5988.2704000000003</v>
      </c>
      <c r="K56" s="8">
        <f>SUM($C55:K55)</f>
        <v>6736.8042000000005</v>
      </c>
      <c r="L56" s="8">
        <f>SUM($C55:L55)</f>
        <v>7485.3380000000006</v>
      </c>
      <c r="M56" s="8">
        <f>SUM($C55:M55)</f>
        <v>8233.8718000000008</v>
      </c>
      <c r="N56" s="8">
        <f>SUM($C55:N55)</f>
        <v>8986</v>
      </c>
      <c r="O56" s="8"/>
    </row>
    <row r="57" spans="1:16" x14ac:dyDescent="0.25">
      <c r="B57" t="s">
        <v>188</v>
      </c>
      <c r="C57" s="62"/>
      <c r="D57" s="62"/>
      <c r="E57" s="62"/>
      <c r="F57" s="62"/>
      <c r="G57" s="62"/>
      <c r="H57" s="62"/>
      <c r="I57" s="62"/>
      <c r="J57" s="62"/>
      <c r="K57" s="62"/>
      <c r="L57" s="62"/>
      <c r="M57" s="62"/>
      <c r="N57" s="62"/>
      <c r="O57" s="8"/>
      <c r="P57" s="8"/>
    </row>
    <row r="58" spans="1:16" x14ac:dyDescent="0.25">
      <c r="A58" t="str">
        <f>'Monthly Expense Worksheet'!A63</f>
        <v>Fuel</v>
      </c>
      <c r="B58" t="s">
        <v>164</v>
      </c>
      <c r="C58" s="8">
        <f>'Monthly Expense Worksheet'!C65*'Prior year summary'!$F89</f>
        <v>30968.1911</v>
      </c>
      <c r="D58" s="8">
        <f>'Monthly Expense Worksheet'!D65*'Prior year summary'!$F89</f>
        <v>30968.1911</v>
      </c>
      <c r="E58" s="8">
        <f>'Monthly Expense Worksheet'!E65*'Prior year summary'!$F89</f>
        <v>30968.1911</v>
      </c>
      <c r="F58" s="8">
        <f>'Monthly Expense Worksheet'!F65*'Prior year summary'!$F89</f>
        <v>30968.1911</v>
      </c>
      <c r="G58" s="8">
        <f>'Monthly Expense Worksheet'!G65*'Prior year summary'!$F89</f>
        <v>30968.1911</v>
      </c>
      <c r="H58" s="8">
        <f>'Monthly Expense Worksheet'!H65*'Prior year summary'!$F89</f>
        <v>30968.1911</v>
      </c>
      <c r="I58" s="8">
        <f>'Monthly Expense Worksheet'!I65*'Prior year summary'!$F89</f>
        <v>30968.1911</v>
      </c>
      <c r="J58" s="8">
        <f>'Monthly Expense Worksheet'!J65*'Prior year summary'!$F89</f>
        <v>30968.1911</v>
      </c>
      <c r="K58" s="8">
        <f>'Monthly Expense Worksheet'!K65*'Prior year summary'!$F89</f>
        <v>30968.1911</v>
      </c>
      <c r="L58" s="8">
        <f>'Monthly Expense Worksheet'!L65*'Prior year summary'!$F89</f>
        <v>30968.1911</v>
      </c>
      <c r="M58" s="8">
        <f>'Monthly Expense Worksheet'!M65*'Prior year summary'!$F89</f>
        <v>30968.1911</v>
      </c>
      <c r="N58" s="8">
        <f>'Monthly Expense Worksheet'!N65*'Prior year summary'!$F89</f>
        <v>31116.897899999956</v>
      </c>
      <c r="O58" s="8">
        <f>SUM(C58:N58)</f>
        <v>371767</v>
      </c>
      <c r="P58" s="8">
        <f>'Prior year summary'!F89</f>
        <v>371767</v>
      </c>
    </row>
    <row r="59" spans="1:16" x14ac:dyDescent="0.25">
      <c r="B59" t="s">
        <v>165</v>
      </c>
      <c r="C59" s="8">
        <f>SUM($C58:C58)</f>
        <v>30968.1911</v>
      </c>
      <c r="D59" s="8">
        <f>SUM($C58:D58)</f>
        <v>61936.3822</v>
      </c>
      <c r="E59" s="8">
        <f>SUM($C58:E58)</f>
        <v>92904.573300000004</v>
      </c>
      <c r="F59" s="8">
        <f>SUM($C58:F58)</f>
        <v>123872.7644</v>
      </c>
      <c r="G59" s="8">
        <f>SUM($C58:G58)</f>
        <v>154840.95550000001</v>
      </c>
      <c r="H59" s="8">
        <f>SUM($C58:H58)</f>
        <v>185809.14660000001</v>
      </c>
      <c r="I59" s="8">
        <f>SUM($C58:I58)</f>
        <v>216777.3377</v>
      </c>
      <c r="J59" s="8">
        <f>SUM($C58:J58)</f>
        <v>247745.5288</v>
      </c>
      <c r="K59" s="8">
        <f>SUM($C58:K58)</f>
        <v>278713.71990000003</v>
      </c>
      <c r="L59" s="8">
        <f>SUM($C58:L58)</f>
        <v>309681.91100000002</v>
      </c>
      <c r="M59" s="8">
        <f>SUM($C58:M58)</f>
        <v>340650.10210000002</v>
      </c>
      <c r="N59" s="8">
        <f>SUM($C58:N58)</f>
        <v>371767</v>
      </c>
      <c r="O59" s="8"/>
    </row>
    <row r="60" spans="1:16" x14ac:dyDescent="0.25">
      <c r="B60" t="s">
        <v>188</v>
      </c>
      <c r="C60" s="62"/>
      <c r="D60" s="62"/>
      <c r="E60" s="62"/>
      <c r="F60" s="62"/>
      <c r="G60" s="62"/>
      <c r="H60" s="62"/>
      <c r="I60" s="62"/>
      <c r="J60" s="62"/>
      <c r="K60" s="62"/>
      <c r="L60" s="62"/>
      <c r="M60" s="62"/>
      <c r="N60" s="62"/>
      <c r="O60" s="8"/>
      <c r="P60" s="8"/>
    </row>
    <row r="61" spans="1:16" x14ac:dyDescent="0.25">
      <c r="A61" t="str">
        <f>'Monthly Expense Worksheet'!A66</f>
        <v>Data</v>
      </c>
      <c r="B61" t="s">
        <v>164</v>
      </c>
      <c r="C61" s="8">
        <f>'Monthly Expense Worksheet'!C68*'Prior year summary'!$F90</f>
        <v>2233.6895</v>
      </c>
      <c r="D61" s="8">
        <f>'Monthly Expense Worksheet'!D68*'Prior year summary'!$F90</f>
        <v>2233.6895</v>
      </c>
      <c r="E61" s="8">
        <f>'Monthly Expense Worksheet'!E68*'Prior year summary'!$F90</f>
        <v>2233.6895</v>
      </c>
      <c r="F61" s="8">
        <f>'Monthly Expense Worksheet'!F68*'Prior year summary'!$F90</f>
        <v>2233.6895</v>
      </c>
      <c r="G61" s="8">
        <f>'Monthly Expense Worksheet'!G68*'Prior year summary'!$F90</f>
        <v>2233.6895</v>
      </c>
      <c r="H61" s="8">
        <f>'Monthly Expense Worksheet'!H68*'Prior year summary'!$F90</f>
        <v>2233.6895</v>
      </c>
      <c r="I61" s="8">
        <f>'Monthly Expense Worksheet'!I68*'Prior year summary'!$F90</f>
        <v>2233.6895</v>
      </c>
      <c r="J61" s="8">
        <f>'Monthly Expense Worksheet'!J68*'Prior year summary'!$F90</f>
        <v>2233.6895</v>
      </c>
      <c r="K61" s="8">
        <f>'Monthly Expense Worksheet'!K68*'Prior year summary'!$F90</f>
        <v>2233.6895</v>
      </c>
      <c r="L61" s="8">
        <f>'Monthly Expense Worksheet'!L68*'Prior year summary'!$F90</f>
        <v>2233.6895</v>
      </c>
      <c r="M61" s="8">
        <f>'Monthly Expense Worksheet'!M68*'Prior year summary'!$F90</f>
        <v>2233.6895</v>
      </c>
      <c r="N61" s="8">
        <f>'Monthly Expense Worksheet'!N68*'Prior year summary'!$F90</f>
        <v>2244.4154999999969</v>
      </c>
      <c r="O61" s="8">
        <f>SUM(C61:N61)</f>
        <v>26814.999999999996</v>
      </c>
      <c r="P61" s="8">
        <f>'Prior year summary'!F90</f>
        <v>26815</v>
      </c>
    </row>
    <row r="62" spans="1:16" x14ac:dyDescent="0.25">
      <c r="B62" t="s">
        <v>165</v>
      </c>
      <c r="C62" s="8">
        <f>SUM($C61:C61)</f>
        <v>2233.6895</v>
      </c>
      <c r="D62" s="8">
        <f>SUM($C61:D61)</f>
        <v>4467.3789999999999</v>
      </c>
      <c r="E62" s="8">
        <f>SUM($C61:E61)</f>
        <v>6701.0684999999994</v>
      </c>
      <c r="F62" s="8">
        <f>SUM($C61:F61)</f>
        <v>8934.7579999999998</v>
      </c>
      <c r="G62" s="8">
        <f>SUM($C61:G61)</f>
        <v>11168.4475</v>
      </c>
      <c r="H62" s="8">
        <f>SUM($C61:H61)</f>
        <v>13402.137000000001</v>
      </c>
      <c r="I62" s="8">
        <f>SUM($C61:I61)</f>
        <v>15635.826500000001</v>
      </c>
      <c r="J62" s="8">
        <f>SUM($C61:J61)</f>
        <v>17869.516</v>
      </c>
      <c r="K62" s="8">
        <f>SUM($C61:K61)</f>
        <v>20103.2055</v>
      </c>
      <c r="L62" s="8">
        <f>SUM($C61:L61)</f>
        <v>22336.895</v>
      </c>
      <c r="M62" s="8">
        <f>SUM($C61:M61)</f>
        <v>24570.584500000001</v>
      </c>
      <c r="N62" s="8">
        <f>SUM($C61:N61)</f>
        <v>26814.999999999996</v>
      </c>
      <c r="O62" s="8"/>
    </row>
    <row r="63" spans="1:16" x14ac:dyDescent="0.25">
      <c r="B63" t="s">
        <v>188</v>
      </c>
      <c r="C63" s="62"/>
      <c r="D63" s="62"/>
      <c r="E63" s="62"/>
      <c r="F63" s="62"/>
      <c r="G63" s="62"/>
      <c r="H63" s="62"/>
      <c r="I63" s="62"/>
      <c r="J63" s="62"/>
      <c r="K63" s="62"/>
      <c r="L63" s="62"/>
      <c r="M63" s="62"/>
      <c r="N63" s="62"/>
      <c r="O63" s="8"/>
      <c r="P63" s="8"/>
    </row>
    <row r="64" spans="1:16" x14ac:dyDescent="0.25">
      <c r="A64" t="str">
        <f>'Monthly Expense Worksheet'!A69</f>
        <v>Repairs</v>
      </c>
      <c r="B64" t="s">
        <v>164</v>
      </c>
      <c r="C64" s="8">
        <f>'Monthly Expense Worksheet'!C71*'Prior year summary'!$F91</f>
        <v>83300</v>
      </c>
      <c r="D64" s="8">
        <f>'Monthly Expense Worksheet'!D71*'Prior year summary'!$F91</f>
        <v>83300</v>
      </c>
      <c r="E64" s="8">
        <f>'Monthly Expense Worksheet'!E71*'Prior year summary'!$F91</f>
        <v>83300</v>
      </c>
      <c r="F64" s="8">
        <f>'Monthly Expense Worksheet'!F71*'Prior year summary'!$F91</f>
        <v>83300</v>
      </c>
      <c r="G64" s="8">
        <f>'Monthly Expense Worksheet'!G71*'Prior year summary'!$F91</f>
        <v>83300</v>
      </c>
      <c r="H64" s="8">
        <f>'Monthly Expense Worksheet'!H71*'Prior year summary'!$F91</f>
        <v>83300</v>
      </c>
      <c r="I64" s="8">
        <f>'Monthly Expense Worksheet'!I71*'Prior year summary'!$F91</f>
        <v>83300</v>
      </c>
      <c r="J64" s="8">
        <f>'Monthly Expense Worksheet'!J71*'Prior year summary'!$F91</f>
        <v>83300</v>
      </c>
      <c r="K64" s="8">
        <f>'Monthly Expense Worksheet'!K71*'Prior year summary'!$F91</f>
        <v>83300</v>
      </c>
      <c r="L64" s="8">
        <f>'Monthly Expense Worksheet'!L71*'Prior year summary'!$F91</f>
        <v>83300</v>
      </c>
      <c r="M64" s="8">
        <f>'Monthly Expense Worksheet'!M71*'Prior year summary'!$F91</f>
        <v>83300</v>
      </c>
      <c r="N64" s="8">
        <f>'Monthly Expense Worksheet'!N71*'Prior year summary'!$F91</f>
        <v>83699.999999999884</v>
      </c>
      <c r="O64" s="8">
        <f>SUM(C64:N64)</f>
        <v>999999.99999999988</v>
      </c>
      <c r="P64" s="8">
        <f>'Prior year summary'!F91</f>
        <v>1000000</v>
      </c>
    </row>
    <row r="65" spans="1:16" x14ac:dyDescent="0.25">
      <c r="B65" t="s">
        <v>165</v>
      </c>
      <c r="C65" s="8">
        <f>SUM($C64:C64)</f>
        <v>83300</v>
      </c>
      <c r="D65" s="8">
        <f>SUM($C64:D64)</f>
        <v>166600</v>
      </c>
      <c r="E65" s="8">
        <f>SUM($C64:E64)</f>
        <v>249900</v>
      </c>
      <c r="F65" s="8">
        <f>SUM($C64:F64)</f>
        <v>333200</v>
      </c>
      <c r="G65" s="8">
        <f>SUM($C64:G64)</f>
        <v>416500</v>
      </c>
      <c r="H65" s="8">
        <f>SUM($C64:H64)</f>
        <v>499800</v>
      </c>
      <c r="I65" s="8">
        <f>SUM($C64:I64)</f>
        <v>583100</v>
      </c>
      <c r="J65" s="8">
        <f>SUM($C64:J64)</f>
        <v>666400</v>
      </c>
      <c r="K65" s="8">
        <f>SUM($C64:K64)</f>
        <v>749700</v>
      </c>
      <c r="L65" s="8">
        <f>SUM($C64:L64)</f>
        <v>833000</v>
      </c>
      <c r="M65" s="8">
        <f>SUM($C64:M64)</f>
        <v>916300</v>
      </c>
      <c r="N65" s="8">
        <f>SUM($C64:N64)</f>
        <v>999999.99999999988</v>
      </c>
      <c r="O65" s="8"/>
    </row>
    <row r="66" spans="1:16" x14ac:dyDescent="0.25">
      <c r="B66" t="s">
        <v>188</v>
      </c>
      <c r="C66" s="62"/>
      <c r="D66" s="62"/>
      <c r="E66" s="62"/>
      <c r="F66" s="62"/>
      <c r="G66" s="62"/>
      <c r="H66" s="62"/>
      <c r="I66" s="62"/>
      <c r="J66" s="62"/>
      <c r="K66" s="62"/>
      <c r="L66" s="62"/>
      <c r="M66" s="62"/>
      <c r="N66" s="62"/>
      <c r="O66" s="8"/>
      <c r="P66" s="8"/>
    </row>
    <row r="67" spans="1:16" x14ac:dyDescent="0.25">
      <c r="A67" t="str">
        <f>'Monthly Expense Worksheet'!A72</f>
        <v>Other supplies</v>
      </c>
      <c r="B67" t="s">
        <v>164</v>
      </c>
      <c r="C67" s="8">
        <f>'Monthly Expense Worksheet'!C74*'Prior year summary'!$F92</f>
        <v>1899.24</v>
      </c>
      <c r="D67" s="8">
        <f>'Monthly Expense Worksheet'!D74*'Prior year summary'!$F92</f>
        <v>1899.24</v>
      </c>
      <c r="E67" s="8">
        <f>'Monthly Expense Worksheet'!E74*'Prior year summary'!$F92</f>
        <v>1899.24</v>
      </c>
      <c r="F67" s="8">
        <f>'Monthly Expense Worksheet'!F74*'Prior year summary'!$F92</f>
        <v>1899.24</v>
      </c>
      <c r="G67" s="8">
        <f>'Monthly Expense Worksheet'!G74*'Prior year summary'!$F92</f>
        <v>1899.24</v>
      </c>
      <c r="H67" s="8">
        <f>'Monthly Expense Worksheet'!H74*'Prior year summary'!$F92</f>
        <v>1899.24</v>
      </c>
      <c r="I67" s="8">
        <f>'Monthly Expense Worksheet'!I74*'Prior year summary'!$F92</f>
        <v>1899.24</v>
      </c>
      <c r="J67" s="8">
        <f>'Monthly Expense Worksheet'!J74*'Prior year summary'!$F92</f>
        <v>1899.24</v>
      </c>
      <c r="K67" s="8">
        <f>'Monthly Expense Worksheet'!K74*'Prior year summary'!$F92</f>
        <v>1899.24</v>
      </c>
      <c r="L67" s="8">
        <f>'Monthly Expense Worksheet'!L74*'Prior year summary'!$F92</f>
        <v>1899.24</v>
      </c>
      <c r="M67" s="8">
        <f>'Monthly Expense Worksheet'!M74*'Prior year summary'!$F92</f>
        <v>1899.24</v>
      </c>
      <c r="N67" s="8">
        <f>'Monthly Expense Worksheet'!N74*'Prior year summary'!$F92</f>
        <v>1908.3599999999974</v>
      </c>
      <c r="O67" s="8">
        <f>SUM(C67:N67)</f>
        <v>22800</v>
      </c>
      <c r="P67" s="8">
        <f>'Prior year summary'!F92</f>
        <v>22800</v>
      </c>
    </row>
    <row r="68" spans="1:16" x14ac:dyDescent="0.25">
      <c r="B68" t="s">
        <v>165</v>
      </c>
      <c r="C68" s="8">
        <f>SUM($C67:C67)</f>
        <v>1899.24</v>
      </c>
      <c r="D68" s="8">
        <f>SUM($C67:D67)</f>
        <v>3798.48</v>
      </c>
      <c r="E68" s="8">
        <f>SUM($C67:E67)</f>
        <v>5697.72</v>
      </c>
      <c r="F68" s="8">
        <f>SUM($C67:F67)</f>
        <v>7596.96</v>
      </c>
      <c r="G68" s="8">
        <f>SUM($C67:G67)</f>
        <v>9496.2000000000007</v>
      </c>
      <c r="H68" s="8">
        <f>SUM($C67:H67)</f>
        <v>11395.44</v>
      </c>
      <c r="I68" s="8">
        <f>SUM($C67:I67)</f>
        <v>13294.68</v>
      </c>
      <c r="J68" s="8">
        <f>SUM($C67:J67)</f>
        <v>15193.92</v>
      </c>
      <c r="K68" s="8">
        <f>SUM($C67:K67)</f>
        <v>17093.16</v>
      </c>
      <c r="L68" s="8">
        <f>SUM($C67:L67)</f>
        <v>18992.400000000001</v>
      </c>
      <c r="M68" s="8">
        <f>SUM($C67:M67)</f>
        <v>20891.640000000003</v>
      </c>
      <c r="N68" s="8">
        <f>SUM($C67:N67)</f>
        <v>22800</v>
      </c>
      <c r="O68" s="8"/>
    </row>
    <row r="69" spans="1:16" x14ac:dyDescent="0.25">
      <c r="B69" t="s">
        <v>188</v>
      </c>
      <c r="C69" s="62"/>
      <c r="D69" s="62"/>
      <c r="E69" s="62"/>
      <c r="F69" s="62"/>
      <c r="G69" s="62"/>
      <c r="H69" s="62"/>
      <c r="I69" s="62"/>
      <c r="J69" s="62"/>
      <c r="K69" s="62"/>
      <c r="L69" s="62"/>
      <c r="M69" s="62"/>
      <c r="N69" s="62"/>
      <c r="O69" s="8"/>
      <c r="P69" s="8"/>
    </row>
    <row r="70" spans="1:16" x14ac:dyDescent="0.25">
      <c r="A70" t="str">
        <f>'Monthly Expense Worksheet'!A75</f>
        <v>Operatiing</v>
      </c>
      <c r="B70" t="s">
        <v>164</v>
      </c>
      <c r="C70" s="8">
        <f>'Monthly Expense Worksheet'!C77*'Prior year summary'!$F93</f>
        <v>35402.5</v>
      </c>
      <c r="D70" s="8">
        <f>'Monthly Expense Worksheet'!D77*'Prior year summary'!$F93</f>
        <v>35402.5</v>
      </c>
      <c r="E70" s="8">
        <f>'Monthly Expense Worksheet'!E77*'Prior year summary'!$F93</f>
        <v>35402.5</v>
      </c>
      <c r="F70" s="8">
        <f>'Monthly Expense Worksheet'!F77*'Prior year summary'!$F93</f>
        <v>35402.5</v>
      </c>
      <c r="G70" s="8">
        <f>'Monthly Expense Worksheet'!G77*'Prior year summary'!$F93</f>
        <v>35402.5</v>
      </c>
      <c r="H70" s="8">
        <f>'Monthly Expense Worksheet'!H77*'Prior year summary'!$F93</f>
        <v>35402.5</v>
      </c>
      <c r="I70" s="8">
        <f>'Monthly Expense Worksheet'!I77*'Prior year summary'!$F93</f>
        <v>35402.5</v>
      </c>
      <c r="J70" s="8">
        <f>'Monthly Expense Worksheet'!J77*'Prior year summary'!$F93</f>
        <v>35402.5</v>
      </c>
      <c r="K70" s="8">
        <f>'Monthly Expense Worksheet'!K77*'Prior year summary'!$F93</f>
        <v>35402.5</v>
      </c>
      <c r="L70" s="8">
        <f>'Monthly Expense Worksheet'!L77*'Prior year summary'!$F93</f>
        <v>35402.5</v>
      </c>
      <c r="M70" s="8">
        <f>'Monthly Expense Worksheet'!M77*'Prior year summary'!$F93</f>
        <v>35402.5</v>
      </c>
      <c r="N70" s="8">
        <f>'Monthly Expense Worksheet'!N77*'Prior year summary'!$F93</f>
        <v>35572.499999999949</v>
      </c>
      <c r="O70" s="8">
        <f>SUM(C70:N70)</f>
        <v>424999.99999999994</v>
      </c>
      <c r="P70" s="8">
        <f>'Prior year summary'!F93</f>
        <v>425000</v>
      </c>
    </row>
    <row r="71" spans="1:16" x14ac:dyDescent="0.25">
      <c r="B71" t="s">
        <v>165</v>
      </c>
      <c r="C71" s="8">
        <f>SUM($C70:C70)</f>
        <v>35402.5</v>
      </c>
      <c r="D71" s="8">
        <f>SUM($C70:D70)</f>
        <v>70805</v>
      </c>
      <c r="E71" s="8">
        <f>SUM($C70:E70)</f>
        <v>106207.5</v>
      </c>
      <c r="F71" s="8">
        <f>SUM($C70:F70)</f>
        <v>141610</v>
      </c>
      <c r="G71" s="8">
        <f>SUM($C70:G70)</f>
        <v>177012.5</v>
      </c>
      <c r="H71" s="8">
        <f>SUM($C70:H70)</f>
        <v>212415</v>
      </c>
      <c r="I71" s="8">
        <f>SUM($C70:I70)</f>
        <v>247817.5</v>
      </c>
      <c r="J71" s="8">
        <f>SUM($C70:J70)</f>
        <v>283220</v>
      </c>
      <c r="K71" s="8">
        <f>SUM($C70:K70)</f>
        <v>318622.5</v>
      </c>
      <c r="L71" s="8">
        <f>SUM($C70:L70)</f>
        <v>354025</v>
      </c>
      <c r="M71" s="8">
        <f>SUM($C70:M70)</f>
        <v>389427.5</v>
      </c>
      <c r="N71" s="8">
        <f>SUM($C70:N70)</f>
        <v>424999.99999999994</v>
      </c>
      <c r="O71" s="8"/>
    </row>
    <row r="72" spans="1:16" x14ac:dyDescent="0.25">
      <c r="B72" t="s">
        <v>188</v>
      </c>
      <c r="C72" s="62"/>
      <c r="D72" s="62"/>
      <c r="E72" s="62"/>
      <c r="F72" s="62"/>
      <c r="G72" s="62"/>
      <c r="H72" s="62"/>
      <c r="I72" s="62"/>
      <c r="J72" s="62"/>
      <c r="K72" s="62"/>
      <c r="L72" s="62"/>
      <c r="M72" s="62"/>
      <c r="N72" s="62"/>
      <c r="O72" s="8"/>
      <c r="P72" s="8"/>
    </row>
    <row r="73" spans="1:16" x14ac:dyDescent="0.25">
      <c r="A73" t="str">
        <f>'Monthly Expense Worksheet'!A78</f>
        <v>E8</v>
      </c>
      <c r="B73" t="s">
        <v>164</v>
      </c>
      <c r="C73" s="8">
        <f>'Monthly Expense Worksheet'!C80*'Prior year summary'!$F94</f>
        <v>0</v>
      </c>
      <c r="D73" s="8">
        <f>'Monthly Expense Worksheet'!D80*'Prior year summary'!$F94</f>
        <v>0</v>
      </c>
      <c r="E73" s="8">
        <f>'Monthly Expense Worksheet'!E80*'Prior year summary'!$F94</f>
        <v>0</v>
      </c>
      <c r="F73" s="8">
        <f>'Monthly Expense Worksheet'!F80*'Prior year summary'!$F94</f>
        <v>0</v>
      </c>
      <c r="G73" s="8">
        <f>'Monthly Expense Worksheet'!G80*'Prior year summary'!$F94</f>
        <v>0</v>
      </c>
      <c r="H73" s="8">
        <f>'Monthly Expense Worksheet'!H80*'Prior year summary'!$F94</f>
        <v>0</v>
      </c>
      <c r="I73" s="8">
        <f>'Monthly Expense Worksheet'!I80*'Prior year summary'!$F94</f>
        <v>0</v>
      </c>
      <c r="J73" s="8">
        <f>'Monthly Expense Worksheet'!J80*'Prior year summary'!$F94</f>
        <v>0</v>
      </c>
      <c r="K73" s="8">
        <f>'Monthly Expense Worksheet'!K80*'Prior year summary'!$F94</f>
        <v>0</v>
      </c>
      <c r="L73" s="8">
        <f>'Monthly Expense Worksheet'!L80*'Prior year summary'!$F94</f>
        <v>0</v>
      </c>
      <c r="M73" s="8">
        <f>'Monthly Expense Worksheet'!M80*'Prior year summary'!$F94</f>
        <v>0</v>
      </c>
      <c r="N73" s="8">
        <f>'Monthly Expense Worksheet'!N80*'Prior year summary'!$F94</f>
        <v>0</v>
      </c>
      <c r="O73" s="8">
        <f>SUM(C73:N73)</f>
        <v>0</v>
      </c>
      <c r="P73" s="8">
        <f>'Prior year summary'!F94</f>
        <v>0</v>
      </c>
    </row>
    <row r="74" spans="1:16" x14ac:dyDescent="0.25">
      <c r="B74" t="s">
        <v>165</v>
      </c>
      <c r="C74" s="8">
        <f>SUM($C73:C73)</f>
        <v>0</v>
      </c>
      <c r="D74" s="8">
        <f>SUM($C73:D73)</f>
        <v>0</v>
      </c>
      <c r="E74" s="8">
        <f>SUM($C73:E73)</f>
        <v>0</v>
      </c>
      <c r="F74" s="8">
        <f>SUM($C73:F73)</f>
        <v>0</v>
      </c>
      <c r="G74" s="8">
        <f>SUM($C73:G73)</f>
        <v>0</v>
      </c>
      <c r="H74" s="8">
        <f>SUM($C73:H73)</f>
        <v>0</v>
      </c>
      <c r="I74" s="8">
        <f>SUM($C73:I73)</f>
        <v>0</v>
      </c>
      <c r="J74" s="8">
        <f>SUM($C73:J73)</f>
        <v>0</v>
      </c>
      <c r="K74" s="8">
        <f>SUM($C73:K73)</f>
        <v>0</v>
      </c>
      <c r="L74" s="8">
        <f>SUM($C73:L73)</f>
        <v>0</v>
      </c>
      <c r="M74" s="8">
        <f>SUM($C73:M73)</f>
        <v>0</v>
      </c>
      <c r="N74" s="8">
        <f>SUM($C73:N73)</f>
        <v>0</v>
      </c>
      <c r="O74" s="8"/>
    </row>
    <row r="75" spans="1:16" x14ac:dyDescent="0.25">
      <c r="B75" t="s">
        <v>188</v>
      </c>
      <c r="C75" s="62"/>
      <c r="D75" s="62"/>
      <c r="E75" s="62"/>
      <c r="F75" s="62"/>
      <c r="G75" s="62"/>
      <c r="H75" s="62"/>
      <c r="I75" s="62"/>
      <c r="J75" s="62"/>
      <c r="K75" s="62"/>
      <c r="L75" s="62"/>
      <c r="M75" s="62"/>
      <c r="N75" s="62"/>
      <c r="O75" s="8"/>
      <c r="P75" s="8"/>
    </row>
    <row r="76" spans="1:16" x14ac:dyDescent="0.25">
      <c r="A76" t="str">
        <f>'Monthly Expense Worksheet'!A81</f>
        <v>E9</v>
      </c>
      <c r="B76" t="s">
        <v>164</v>
      </c>
      <c r="C76" s="8">
        <f>'Monthly Expense Worksheet'!C83*'Prior year summary'!$F95</f>
        <v>0</v>
      </c>
      <c r="D76" s="8">
        <f>'Monthly Expense Worksheet'!D83*'Prior year summary'!$F95</f>
        <v>0</v>
      </c>
      <c r="E76" s="8">
        <f>'Monthly Expense Worksheet'!E83*'Prior year summary'!$F95</f>
        <v>0</v>
      </c>
      <c r="F76" s="8">
        <f>'Monthly Expense Worksheet'!F83*'Prior year summary'!$F95</f>
        <v>0</v>
      </c>
      <c r="G76" s="8">
        <f>'Monthly Expense Worksheet'!G83*'Prior year summary'!$F95</f>
        <v>0</v>
      </c>
      <c r="H76" s="8">
        <f>'Monthly Expense Worksheet'!H83*'Prior year summary'!$F95</f>
        <v>0</v>
      </c>
      <c r="I76" s="8">
        <f>'Monthly Expense Worksheet'!I83*'Prior year summary'!$F95</f>
        <v>0</v>
      </c>
      <c r="J76" s="8">
        <f>'Monthly Expense Worksheet'!J83*'Prior year summary'!$F95</f>
        <v>0</v>
      </c>
      <c r="K76" s="8">
        <f>'Monthly Expense Worksheet'!K83*'Prior year summary'!$F95</f>
        <v>0</v>
      </c>
      <c r="L76" s="8">
        <f>'Monthly Expense Worksheet'!L83*'Prior year summary'!$F95</f>
        <v>0</v>
      </c>
      <c r="M76" s="8">
        <f>'Monthly Expense Worksheet'!M83*'Prior year summary'!$F95</f>
        <v>0</v>
      </c>
      <c r="N76" s="8">
        <f>'Monthly Expense Worksheet'!N83*'Prior year summary'!$F95</f>
        <v>0</v>
      </c>
      <c r="O76" s="8">
        <f>SUM(C76:N76)</f>
        <v>0</v>
      </c>
      <c r="P76" s="8">
        <f>'Prior year summary'!F95</f>
        <v>0</v>
      </c>
    </row>
    <row r="77" spans="1:16" x14ac:dyDescent="0.25">
      <c r="B77" t="s">
        <v>165</v>
      </c>
      <c r="C77" s="8">
        <f>SUM($C76:C76)</f>
        <v>0</v>
      </c>
      <c r="D77" s="8">
        <f>SUM($C76:D76)</f>
        <v>0</v>
      </c>
      <c r="E77" s="8">
        <f>SUM($C76:E76)</f>
        <v>0</v>
      </c>
      <c r="F77" s="8">
        <f>SUM($C76:F76)</f>
        <v>0</v>
      </c>
      <c r="G77" s="8">
        <f>SUM($C76:G76)</f>
        <v>0</v>
      </c>
      <c r="H77" s="8">
        <f>SUM($C76:H76)</f>
        <v>0</v>
      </c>
      <c r="I77" s="8">
        <f>SUM($C76:I76)</f>
        <v>0</v>
      </c>
      <c r="J77" s="8">
        <f>SUM($C76:J76)</f>
        <v>0</v>
      </c>
      <c r="K77" s="8">
        <f>SUM($C76:K76)</f>
        <v>0</v>
      </c>
      <c r="L77" s="8">
        <f>SUM($C76:L76)</f>
        <v>0</v>
      </c>
      <c r="M77" s="8">
        <f>SUM($C76:M76)</f>
        <v>0</v>
      </c>
      <c r="N77" s="8">
        <f>SUM($C76:N76)</f>
        <v>0</v>
      </c>
      <c r="O77" s="8"/>
    </row>
    <row r="78" spans="1:16" x14ac:dyDescent="0.25">
      <c r="B78" t="s">
        <v>188</v>
      </c>
      <c r="C78" s="62"/>
      <c r="D78" s="62"/>
      <c r="E78" s="62"/>
      <c r="F78" s="62"/>
      <c r="G78" s="62"/>
      <c r="H78" s="62"/>
      <c r="I78" s="62"/>
      <c r="J78" s="62"/>
      <c r="K78" s="62"/>
      <c r="L78" s="62"/>
      <c r="M78" s="62"/>
      <c r="N78" s="62"/>
      <c r="O78" s="8"/>
      <c r="P78" s="8"/>
    </row>
    <row r="79" spans="1:16" x14ac:dyDescent="0.25">
      <c r="A79" t="str">
        <f>'Monthly Expense Worksheet'!A84</f>
        <v>E10</v>
      </c>
      <c r="B79" t="s">
        <v>164</v>
      </c>
      <c r="C79" s="8">
        <f>'Monthly Expense Worksheet'!C86*'Prior year summary'!$F96</f>
        <v>8.3300000000000005E-5</v>
      </c>
      <c r="D79" s="8">
        <f>'Monthly Expense Worksheet'!D86*'Prior year summary'!$F96</f>
        <v>8.3300000000000005E-5</v>
      </c>
      <c r="E79" s="8">
        <f>'Monthly Expense Worksheet'!E86*'Prior year summary'!$F96</f>
        <v>8.3300000000000005E-5</v>
      </c>
      <c r="F79" s="8">
        <f>'Monthly Expense Worksheet'!F86*'Prior year summary'!$F96</f>
        <v>8.3300000000000005E-5</v>
      </c>
      <c r="G79" s="8">
        <f>'Monthly Expense Worksheet'!G86*'Prior year summary'!$F96</f>
        <v>8.3300000000000005E-5</v>
      </c>
      <c r="H79" s="8">
        <f>'Monthly Expense Worksheet'!H86*'Prior year summary'!$F96</f>
        <v>8.3300000000000005E-5</v>
      </c>
      <c r="I79" s="8">
        <f>'Monthly Expense Worksheet'!I86*'Prior year summary'!$F96</f>
        <v>8.3300000000000005E-5</v>
      </c>
      <c r="J79" s="8">
        <f>'Monthly Expense Worksheet'!J86*'Prior year summary'!$F96</f>
        <v>8.3300000000000005E-5</v>
      </c>
      <c r="K79" s="8">
        <f>'Monthly Expense Worksheet'!K86*'Prior year summary'!$F96</f>
        <v>8.3300000000000005E-5</v>
      </c>
      <c r="L79" s="8">
        <f>'Monthly Expense Worksheet'!L86*'Prior year summary'!$F96</f>
        <v>8.3300000000000005E-5</v>
      </c>
      <c r="M79" s="8">
        <f>'Monthly Expense Worksheet'!M86*'Prior year summary'!$F96</f>
        <v>8.3300000000000005E-5</v>
      </c>
      <c r="N79" s="8">
        <f>'Monthly Expense Worksheet'!N86*'Prior year summary'!$F96</f>
        <v>8.3699999999999893E-5</v>
      </c>
      <c r="O79" s="8">
        <f>SUM(C79:N79)</f>
        <v>1E-3</v>
      </c>
      <c r="P79" s="8">
        <f>'Prior year summary'!F96</f>
        <v>1E-3</v>
      </c>
    </row>
    <row r="80" spans="1:16" x14ac:dyDescent="0.25">
      <c r="B80" t="s">
        <v>165</v>
      </c>
      <c r="C80" s="8">
        <f>SUM($C79:C79)</f>
        <v>8.3300000000000005E-5</v>
      </c>
      <c r="D80" s="8">
        <f>SUM($C79:D79)</f>
        <v>1.6660000000000001E-4</v>
      </c>
      <c r="E80" s="8">
        <f>SUM($C79:E79)</f>
        <v>2.499E-4</v>
      </c>
      <c r="F80" s="8">
        <f>SUM($C79:F79)</f>
        <v>3.3320000000000002E-4</v>
      </c>
      <c r="G80" s="8">
        <f>SUM($C79:G79)</f>
        <v>4.1650000000000004E-4</v>
      </c>
      <c r="H80" s="8">
        <f>SUM($C79:H79)</f>
        <v>4.9980000000000001E-4</v>
      </c>
      <c r="I80" s="8">
        <f>SUM($C79:I79)</f>
        <v>5.8310000000000002E-4</v>
      </c>
      <c r="J80" s="8">
        <f>SUM($C79:J79)</f>
        <v>6.6640000000000004E-4</v>
      </c>
      <c r="K80" s="8">
        <f>SUM($C79:K79)</f>
        <v>7.4970000000000006E-4</v>
      </c>
      <c r="L80" s="8">
        <f>SUM($C79:L79)</f>
        <v>8.3300000000000008E-4</v>
      </c>
      <c r="M80" s="8">
        <f>SUM($C79:M79)</f>
        <v>9.163000000000001E-4</v>
      </c>
      <c r="N80" s="8">
        <f>SUM($C79:N79)</f>
        <v>1E-3</v>
      </c>
      <c r="O80" s="8"/>
    </row>
    <row r="81" spans="1:16" x14ac:dyDescent="0.25">
      <c r="B81" t="s">
        <v>188</v>
      </c>
      <c r="C81" s="44"/>
      <c r="D81" s="44"/>
      <c r="E81" s="44"/>
      <c r="F81" s="44"/>
      <c r="G81" s="44"/>
      <c r="H81" s="44"/>
      <c r="I81" s="44"/>
      <c r="J81" s="44"/>
      <c r="K81" s="44"/>
      <c r="L81" s="44"/>
      <c r="M81" s="44"/>
      <c r="N81" s="44"/>
    </row>
    <row r="82" spans="1:16" x14ac:dyDescent="0.25">
      <c r="A82" t="str">
        <f>'Monthly Expense Worksheet'!A87</f>
        <v>Utilities</v>
      </c>
      <c r="B82" t="s">
        <v>164</v>
      </c>
      <c r="C82" s="8">
        <f>'Monthly Expense Worksheet'!C89*'Prior year summary'!$F97</f>
        <v>18742.5</v>
      </c>
      <c r="D82" s="8">
        <f>'Monthly Expense Worksheet'!D89*'Prior year summary'!$F97</f>
        <v>18742.5</v>
      </c>
      <c r="E82" s="8">
        <f>'Monthly Expense Worksheet'!E89*'Prior year summary'!$F97</f>
        <v>18742.5</v>
      </c>
      <c r="F82" s="8">
        <f>'Monthly Expense Worksheet'!F89*'Prior year summary'!$F97</f>
        <v>18742.5</v>
      </c>
      <c r="G82" s="8">
        <f>'Monthly Expense Worksheet'!G89*'Prior year summary'!$F97</f>
        <v>18742.5</v>
      </c>
      <c r="H82" s="8">
        <f>'Monthly Expense Worksheet'!H89*'Prior year summary'!$F97</f>
        <v>18742.5</v>
      </c>
      <c r="I82" s="8">
        <f>'Monthly Expense Worksheet'!I89*'Prior year summary'!$F97</f>
        <v>18742.5</v>
      </c>
      <c r="J82" s="8">
        <f>'Monthly Expense Worksheet'!J89*'Prior year summary'!$F97</f>
        <v>18742.5</v>
      </c>
      <c r="K82" s="8">
        <f>'Monthly Expense Worksheet'!K89*'Prior year summary'!$F97</f>
        <v>18742.5</v>
      </c>
      <c r="L82" s="8">
        <f>'Monthly Expense Worksheet'!L89*'Prior year summary'!$F97</f>
        <v>18742.5</v>
      </c>
      <c r="M82" s="8">
        <f>'Monthly Expense Worksheet'!M89*'Prior year summary'!$F97</f>
        <v>18742.5</v>
      </c>
      <c r="N82" s="8">
        <f>'Monthly Expense Worksheet'!N89*'Prior year summary'!$F97</f>
        <v>18832.499999999975</v>
      </c>
      <c r="O82" s="8">
        <f>SUM(C82:N82)</f>
        <v>224999.99999999997</v>
      </c>
      <c r="P82" s="8">
        <f>'Prior year summary'!F97</f>
        <v>225000</v>
      </c>
    </row>
    <row r="83" spans="1:16" x14ac:dyDescent="0.25">
      <c r="B83" t="s">
        <v>165</v>
      </c>
      <c r="C83" s="8">
        <f>SUM($C82:C82)</f>
        <v>18742.5</v>
      </c>
      <c r="D83" s="8">
        <f>SUM($C82:D82)</f>
        <v>37485</v>
      </c>
      <c r="E83" s="8">
        <f>SUM($C82:E82)</f>
        <v>56227.5</v>
      </c>
      <c r="F83" s="8">
        <f>SUM($C82:F82)</f>
        <v>74970</v>
      </c>
      <c r="G83" s="8">
        <f>SUM($C82:G82)</f>
        <v>93712.5</v>
      </c>
      <c r="H83" s="8">
        <f>SUM($C82:H82)</f>
        <v>112455</v>
      </c>
      <c r="I83" s="8">
        <f>SUM($C82:I82)</f>
        <v>131197.5</v>
      </c>
      <c r="J83" s="8">
        <f>SUM($C82:J82)</f>
        <v>149940</v>
      </c>
      <c r="K83" s="8">
        <f>SUM($C82:K82)</f>
        <v>168682.5</v>
      </c>
      <c r="L83" s="8">
        <f>SUM($C82:L82)</f>
        <v>187425</v>
      </c>
      <c r="M83" s="8">
        <f>SUM($C82:M82)</f>
        <v>206167.5</v>
      </c>
      <c r="N83" s="8">
        <f>SUM($C82:N82)</f>
        <v>224999.99999999997</v>
      </c>
      <c r="O83" s="8"/>
    </row>
    <row r="84" spans="1:16" x14ac:dyDescent="0.25">
      <c r="B84" t="s">
        <v>188</v>
      </c>
      <c r="C84" s="44"/>
      <c r="D84" s="44"/>
      <c r="E84" s="44"/>
      <c r="F84" s="44"/>
      <c r="G84" s="44"/>
      <c r="H84" s="44"/>
      <c r="I84" s="44"/>
      <c r="J84" s="44"/>
      <c r="K84" s="44"/>
      <c r="L84" s="44"/>
      <c r="M84" s="44"/>
      <c r="N84" s="44"/>
    </row>
    <row r="85" spans="1:16" x14ac:dyDescent="0.25">
      <c r="A85" t="str">
        <f>'Monthly Expense Worksheet'!A90</f>
        <v>Educational</v>
      </c>
      <c r="B85" t="s">
        <v>164</v>
      </c>
      <c r="C85" s="8">
        <f>'Monthly Expense Worksheet'!C92*'Prior year summary'!$F98</f>
        <v>1041.25</v>
      </c>
      <c r="D85" s="8">
        <f>'Monthly Expense Worksheet'!D92*'Prior year summary'!$F98</f>
        <v>1041.25</v>
      </c>
      <c r="E85" s="8">
        <f>'Monthly Expense Worksheet'!E92*'Prior year summary'!$F98</f>
        <v>1041.25</v>
      </c>
      <c r="F85" s="8">
        <f>'Monthly Expense Worksheet'!F92*'Prior year summary'!$F98</f>
        <v>1041.25</v>
      </c>
      <c r="G85" s="8">
        <f>'Monthly Expense Worksheet'!G92*'Prior year summary'!$F98</f>
        <v>1041.25</v>
      </c>
      <c r="H85" s="8">
        <f>'Monthly Expense Worksheet'!H92*'Prior year summary'!$F98</f>
        <v>1041.25</v>
      </c>
      <c r="I85" s="8">
        <f>'Monthly Expense Worksheet'!I92*'Prior year summary'!$F98</f>
        <v>1041.25</v>
      </c>
      <c r="J85" s="8">
        <f>'Monthly Expense Worksheet'!J92*'Prior year summary'!$F98</f>
        <v>1041.25</v>
      </c>
      <c r="K85" s="8">
        <f>'Monthly Expense Worksheet'!K92*'Prior year summary'!$F98</f>
        <v>1041.25</v>
      </c>
      <c r="L85" s="8">
        <f>'Monthly Expense Worksheet'!L92*'Prior year summary'!$F98</f>
        <v>1041.25</v>
      </c>
      <c r="M85" s="8">
        <f>'Monthly Expense Worksheet'!M92*'Prior year summary'!$F98</f>
        <v>1041.25</v>
      </c>
      <c r="N85" s="8">
        <f>'Monthly Expense Worksheet'!N92*'Prior year summary'!$F98</f>
        <v>1046.2499999999986</v>
      </c>
      <c r="O85" s="8">
        <f>SUM(C85:N85)</f>
        <v>12499.999999999998</v>
      </c>
      <c r="P85" s="8">
        <f>'Prior year summary'!F98</f>
        <v>12500</v>
      </c>
    </row>
    <row r="86" spans="1:16" x14ac:dyDescent="0.25">
      <c r="B86" t="s">
        <v>165</v>
      </c>
      <c r="C86" s="8">
        <f>SUM($C85:C85)</f>
        <v>1041.25</v>
      </c>
      <c r="D86" s="8">
        <f>SUM($C85:D85)</f>
        <v>2082.5</v>
      </c>
      <c r="E86" s="8">
        <f>SUM($C85:E85)</f>
        <v>3123.75</v>
      </c>
      <c r="F86" s="8">
        <f>SUM($C85:F85)</f>
        <v>4165</v>
      </c>
      <c r="G86" s="8">
        <f>SUM($C85:G85)</f>
        <v>5206.25</v>
      </c>
      <c r="H86" s="8">
        <f>SUM($C85:H85)</f>
        <v>6247.5</v>
      </c>
      <c r="I86" s="8">
        <f>SUM($C85:I85)</f>
        <v>7288.75</v>
      </c>
      <c r="J86" s="8">
        <f>SUM($C85:J85)</f>
        <v>8330</v>
      </c>
      <c r="K86" s="8">
        <f>SUM($C85:K85)</f>
        <v>9371.25</v>
      </c>
      <c r="L86" s="8">
        <f>SUM($C85:L85)</f>
        <v>10412.5</v>
      </c>
      <c r="M86" s="8">
        <f>SUM($C85:M85)</f>
        <v>11453.75</v>
      </c>
      <c r="N86" s="8">
        <f>SUM($C85:N85)</f>
        <v>12499.999999999998</v>
      </c>
      <c r="O86" s="8"/>
    </row>
    <row r="87" spans="1:16" x14ac:dyDescent="0.25">
      <c r="B87" t="s">
        <v>188</v>
      </c>
      <c r="C87" s="44"/>
      <c r="D87" s="44"/>
      <c r="E87" s="44"/>
      <c r="F87" s="44"/>
      <c r="G87" s="44"/>
      <c r="H87" s="44"/>
      <c r="I87" s="44"/>
      <c r="J87" s="44"/>
      <c r="K87" s="44"/>
      <c r="L87" s="44"/>
      <c r="M87" s="44"/>
      <c r="N87" s="44"/>
    </row>
    <row r="88" spans="1:16" x14ac:dyDescent="0.25">
      <c r="A88" t="str">
        <f>'Monthly Expense Worksheet'!A93</f>
        <v>Telephone</v>
      </c>
      <c r="B88" t="s">
        <v>164</v>
      </c>
      <c r="C88" s="8">
        <f>'Monthly Expense Worksheet'!C95*'Prior year summary'!$F99</f>
        <v>4556.51</v>
      </c>
      <c r="D88" s="8">
        <f>'Monthly Expense Worksheet'!D95*'Prior year summary'!$F99</f>
        <v>4556.51</v>
      </c>
      <c r="E88" s="8">
        <f>'Monthly Expense Worksheet'!E95*'Prior year summary'!$F99</f>
        <v>4556.51</v>
      </c>
      <c r="F88" s="8">
        <f>'Monthly Expense Worksheet'!F95*'Prior year summary'!$F99</f>
        <v>4556.51</v>
      </c>
      <c r="G88" s="8">
        <f>'Monthly Expense Worksheet'!G95*'Prior year summary'!$F99</f>
        <v>4556.51</v>
      </c>
      <c r="H88" s="8">
        <f>'Monthly Expense Worksheet'!H95*'Prior year summary'!$F99</f>
        <v>4556.51</v>
      </c>
      <c r="I88" s="8">
        <f>'Monthly Expense Worksheet'!I95*'Prior year summary'!$F99</f>
        <v>4556.51</v>
      </c>
      <c r="J88" s="8">
        <f>'Monthly Expense Worksheet'!J95*'Prior year summary'!$F99</f>
        <v>4556.51</v>
      </c>
      <c r="K88" s="8">
        <f>'Monthly Expense Worksheet'!K95*'Prior year summary'!$F99</f>
        <v>4556.51</v>
      </c>
      <c r="L88" s="8">
        <f>'Monthly Expense Worksheet'!L95*'Prior year summary'!$F99</f>
        <v>4556.51</v>
      </c>
      <c r="M88" s="8">
        <f>'Monthly Expense Worksheet'!M95*'Prior year summary'!$F99</f>
        <v>4556.51</v>
      </c>
      <c r="N88" s="8">
        <f>'Monthly Expense Worksheet'!N95*'Prior year summary'!$F99</f>
        <v>4578.389999999994</v>
      </c>
      <c r="O88" s="8">
        <f>SUM(C88:N88)</f>
        <v>54700.000000000007</v>
      </c>
      <c r="P88" s="8">
        <f>'Prior year summary'!F99</f>
        <v>54700</v>
      </c>
    </row>
    <row r="89" spans="1:16" x14ac:dyDescent="0.25">
      <c r="B89" t="s">
        <v>165</v>
      </c>
      <c r="C89" s="8">
        <f>SUM($C88:C88)</f>
        <v>4556.51</v>
      </c>
      <c r="D89" s="8">
        <f>SUM($C88:D88)</f>
        <v>9113.02</v>
      </c>
      <c r="E89" s="8">
        <f>SUM($C88:E88)</f>
        <v>13669.53</v>
      </c>
      <c r="F89" s="8">
        <f>SUM($C88:F88)</f>
        <v>18226.04</v>
      </c>
      <c r="G89" s="8">
        <f>SUM($C88:G88)</f>
        <v>22782.550000000003</v>
      </c>
      <c r="H89" s="8">
        <f>SUM($C88:H88)</f>
        <v>27339.060000000005</v>
      </c>
      <c r="I89" s="8">
        <f>SUM($C88:I88)</f>
        <v>31895.570000000007</v>
      </c>
      <c r="J89" s="8">
        <f>SUM($C88:J88)</f>
        <v>36452.080000000009</v>
      </c>
      <c r="K89" s="8">
        <f>SUM($C88:K88)</f>
        <v>41008.590000000011</v>
      </c>
      <c r="L89" s="8">
        <f>SUM($C88:L88)</f>
        <v>45565.100000000013</v>
      </c>
      <c r="M89" s="8">
        <f>SUM($C88:M88)</f>
        <v>50121.610000000015</v>
      </c>
      <c r="N89" s="8">
        <f>SUM($C88:N88)</f>
        <v>54700.000000000007</v>
      </c>
      <c r="O89" s="8"/>
    </row>
    <row r="90" spans="1:16" x14ac:dyDescent="0.25">
      <c r="B90" t="s">
        <v>188</v>
      </c>
      <c r="C90" s="44"/>
      <c r="D90" s="44"/>
      <c r="E90" s="44"/>
      <c r="F90" s="44"/>
      <c r="G90" s="44"/>
      <c r="H90" s="44"/>
      <c r="I90" s="44"/>
      <c r="J90" s="44"/>
      <c r="K90" s="44"/>
      <c r="L90" s="44"/>
      <c r="M90" s="44"/>
      <c r="N90" s="44"/>
    </row>
    <row r="91" spans="1:16" x14ac:dyDescent="0.25">
      <c r="A91" t="str">
        <f>'Monthly Expense Worksheet'!A96</f>
        <v>Lic</v>
      </c>
      <c r="B91" t="s">
        <v>164</v>
      </c>
      <c r="C91" s="8">
        <f>'Monthly Expense Worksheet'!C98*'Prior year summary'!$F100</f>
        <v>608.09</v>
      </c>
      <c r="D91" s="8">
        <f>'Monthly Expense Worksheet'!D98*'Prior year summary'!$F100</f>
        <v>608.09</v>
      </c>
      <c r="E91" s="8">
        <f>'Monthly Expense Worksheet'!E98*'Prior year summary'!$F100</f>
        <v>608.09</v>
      </c>
      <c r="F91" s="8">
        <f>'Monthly Expense Worksheet'!F98*'Prior year summary'!$F100</f>
        <v>608.09</v>
      </c>
      <c r="G91" s="8">
        <f>'Monthly Expense Worksheet'!G98*'Prior year summary'!$F100</f>
        <v>608.09</v>
      </c>
      <c r="H91" s="8">
        <f>'Monthly Expense Worksheet'!H98*'Prior year summary'!$F100</f>
        <v>608.09</v>
      </c>
      <c r="I91" s="8">
        <f>'Monthly Expense Worksheet'!I98*'Prior year summary'!$F100</f>
        <v>608.09</v>
      </c>
      <c r="J91" s="8">
        <f>'Monthly Expense Worksheet'!J98*'Prior year summary'!$F100</f>
        <v>608.09</v>
      </c>
      <c r="K91" s="8">
        <f>'Monthly Expense Worksheet'!K98*'Prior year summary'!$F100</f>
        <v>608.09</v>
      </c>
      <c r="L91" s="8">
        <f>'Monthly Expense Worksheet'!L98*'Prior year summary'!$F100</f>
        <v>608.09</v>
      </c>
      <c r="M91" s="8">
        <f>'Monthly Expense Worksheet'!M98*'Prior year summary'!$F100</f>
        <v>608.09</v>
      </c>
      <c r="N91" s="8">
        <f>'Monthly Expense Worksheet'!N98*'Prior year summary'!$F100</f>
        <v>611.0099999999992</v>
      </c>
      <c r="O91" s="8">
        <f>SUM(C91:N91)</f>
        <v>7300</v>
      </c>
      <c r="P91" s="8">
        <f>'Prior year summary'!F100</f>
        <v>7300</v>
      </c>
    </row>
    <row r="92" spans="1:16" x14ac:dyDescent="0.25">
      <c r="B92" t="s">
        <v>165</v>
      </c>
      <c r="C92" s="8">
        <f>SUM($C91:C91)</f>
        <v>608.09</v>
      </c>
      <c r="D92" s="8">
        <f>SUM($C91:D91)</f>
        <v>1216.18</v>
      </c>
      <c r="E92" s="8">
        <f>SUM($C91:E91)</f>
        <v>1824.27</v>
      </c>
      <c r="F92" s="8">
        <f>SUM($C91:F91)</f>
        <v>2432.36</v>
      </c>
      <c r="G92" s="8">
        <f>SUM($C91:G91)</f>
        <v>3040.4500000000003</v>
      </c>
      <c r="H92" s="8">
        <f>SUM($C91:H91)</f>
        <v>3648.5400000000004</v>
      </c>
      <c r="I92" s="8">
        <f>SUM($C91:I91)</f>
        <v>4256.63</v>
      </c>
      <c r="J92" s="8">
        <f>SUM($C91:J91)</f>
        <v>4864.72</v>
      </c>
      <c r="K92" s="8">
        <f>SUM($C91:K91)</f>
        <v>5472.81</v>
      </c>
      <c r="L92" s="8">
        <f>SUM($C91:L91)</f>
        <v>6080.9000000000005</v>
      </c>
      <c r="M92" s="8">
        <f>SUM($C91:M91)</f>
        <v>6688.9900000000007</v>
      </c>
      <c r="N92" s="8">
        <f>SUM($C91:N91)</f>
        <v>7300</v>
      </c>
      <c r="O92" s="8"/>
    </row>
    <row r="93" spans="1:16" x14ac:dyDescent="0.25">
      <c r="B93" t="s">
        <v>188</v>
      </c>
      <c r="C93" s="44"/>
      <c r="D93" s="44"/>
      <c r="E93" s="44"/>
      <c r="F93" s="44"/>
      <c r="G93" s="44"/>
      <c r="H93" s="44"/>
      <c r="I93" s="44"/>
      <c r="J93" s="44"/>
      <c r="K93" s="44"/>
      <c r="L93" s="44"/>
      <c r="M93" s="44"/>
      <c r="N93" s="44"/>
    </row>
    <row r="94" spans="1:16" x14ac:dyDescent="0.25">
      <c r="A94" t="str">
        <f>'Monthly Expense Worksheet'!A99</f>
        <v>Audit</v>
      </c>
      <c r="B94" t="s">
        <v>164</v>
      </c>
      <c r="C94" s="8">
        <f>'Monthly Expense Worksheet'!C101*'Prior year summary'!$F101</f>
        <v>2499</v>
      </c>
      <c r="D94" s="8">
        <f>'Monthly Expense Worksheet'!D101*'Prior year summary'!$F101</f>
        <v>2499</v>
      </c>
      <c r="E94" s="8">
        <f>'Monthly Expense Worksheet'!E101*'Prior year summary'!$F101</f>
        <v>2499</v>
      </c>
      <c r="F94" s="8">
        <f>'Monthly Expense Worksheet'!F101*'Prior year summary'!$F101</f>
        <v>2499</v>
      </c>
      <c r="G94" s="8">
        <f>'Monthly Expense Worksheet'!G101*'Prior year summary'!$F101</f>
        <v>2499</v>
      </c>
      <c r="H94" s="8">
        <f>'Monthly Expense Worksheet'!H101*'Prior year summary'!$F101</f>
        <v>2499</v>
      </c>
      <c r="I94" s="8">
        <f>'Monthly Expense Worksheet'!I101*'Prior year summary'!$F101</f>
        <v>2499</v>
      </c>
      <c r="J94" s="8">
        <f>'Monthly Expense Worksheet'!J101*'Prior year summary'!$F101</f>
        <v>2499</v>
      </c>
      <c r="K94" s="8">
        <f>'Monthly Expense Worksheet'!K101*'Prior year summary'!$F101</f>
        <v>2499</v>
      </c>
      <c r="L94" s="8">
        <f>'Monthly Expense Worksheet'!L101*'Prior year summary'!$F101</f>
        <v>2499</v>
      </c>
      <c r="M94" s="8">
        <f>'Monthly Expense Worksheet'!M101*'Prior year summary'!$F101</f>
        <v>2499</v>
      </c>
      <c r="N94" s="8">
        <f>'Monthly Expense Worksheet'!N101*'Prior year summary'!$F101</f>
        <v>2510.9999999999964</v>
      </c>
      <c r="O94" s="8">
        <f>SUM(C94:N94)</f>
        <v>29999.999999999996</v>
      </c>
      <c r="P94" s="8">
        <f>'Prior year summary'!F101</f>
        <v>30000</v>
      </c>
    </row>
    <row r="95" spans="1:16" x14ac:dyDescent="0.25">
      <c r="B95" t="s">
        <v>165</v>
      </c>
      <c r="C95" s="8">
        <f>SUM($C94:C94)</f>
        <v>2499</v>
      </c>
      <c r="D95" s="8">
        <f>SUM($C94:D94)</f>
        <v>4998</v>
      </c>
      <c r="E95" s="8">
        <f>SUM($C94:E94)</f>
        <v>7497</v>
      </c>
      <c r="F95" s="8">
        <f>SUM($C94:F94)</f>
        <v>9996</v>
      </c>
      <c r="G95" s="8">
        <f>SUM($C94:G94)</f>
        <v>12495</v>
      </c>
      <c r="H95" s="8">
        <f>SUM($C94:H94)</f>
        <v>14994</v>
      </c>
      <c r="I95" s="8">
        <f>SUM($C94:I94)</f>
        <v>17493</v>
      </c>
      <c r="J95" s="8">
        <f>SUM($C94:J94)</f>
        <v>19992</v>
      </c>
      <c r="K95" s="8">
        <f>SUM($C94:K94)</f>
        <v>22491</v>
      </c>
      <c r="L95" s="8">
        <f>SUM($C94:L94)</f>
        <v>24990</v>
      </c>
      <c r="M95" s="8">
        <f>SUM($C94:M94)</f>
        <v>27489</v>
      </c>
      <c r="N95" s="8">
        <f>SUM($C94:N94)</f>
        <v>29999.999999999996</v>
      </c>
      <c r="O95" s="8"/>
    </row>
    <row r="96" spans="1:16" x14ac:dyDescent="0.25">
      <c r="B96" t="s">
        <v>188</v>
      </c>
      <c r="C96" s="44"/>
      <c r="D96" s="44"/>
      <c r="E96" s="44"/>
      <c r="F96" s="44"/>
      <c r="G96" s="44"/>
      <c r="H96" s="44"/>
      <c r="I96" s="44"/>
      <c r="J96" s="44"/>
      <c r="K96" s="44"/>
      <c r="L96" s="44"/>
      <c r="M96" s="44"/>
      <c r="N96" s="44"/>
    </row>
    <row r="97" spans="1:16" x14ac:dyDescent="0.25">
      <c r="A97" t="str">
        <f>'Monthly Expense Worksheet'!A102</f>
        <v>Meal</v>
      </c>
      <c r="B97" t="s">
        <v>164</v>
      </c>
      <c r="C97" s="8">
        <f>'Monthly Expense Worksheet'!C104*'Prior year summary'!$F102</f>
        <v>108.28999999999999</v>
      </c>
      <c r="D97" s="8">
        <f>'Monthly Expense Worksheet'!D104*'Prior year summary'!$F102</f>
        <v>108.28999999999999</v>
      </c>
      <c r="E97" s="8">
        <f>'Monthly Expense Worksheet'!E104*'Prior year summary'!$F102</f>
        <v>108.28999999999999</v>
      </c>
      <c r="F97" s="8">
        <f>'Monthly Expense Worksheet'!F104*'Prior year summary'!$F102</f>
        <v>108.28999999999999</v>
      </c>
      <c r="G97" s="8">
        <f>'Monthly Expense Worksheet'!G104*'Prior year summary'!$F102</f>
        <v>108.28999999999999</v>
      </c>
      <c r="H97" s="8">
        <f>'Monthly Expense Worksheet'!H104*'Prior year summary'!$F102</f>
        <v>108.28999999999999</v>
      </c>
      <c r="I97" s="8">
        <f>'Monthly Expense Worksheet'!I104*'Prior year summary'!$F102</f>
        <v>108.28999999999999</v>
      </c>
      <c r="J97" s="8">
        <f>'Monthly Expense Worksheet'!J104*'Prior year summary'!$F102</f>
        <v>108.28999999999999</v>
      </c>
      <c r="K97" s="8">
        <f>'Monthly Expense Worksheet'!K104*'Prior year summary'!$F102</f>
        <v>108.28999999999999</v>
      </c>
      <c r="L97" s="8">
        <f>'Monthly Expense Worksheet'!L104*'Prior year summary'!$F102</f>
        <v>108.28999999999999</v>
      </c>
      <c r="M97" s="8">
        <f>'Monthly Expense Worksheet'!M104*'Prior year summary'!$F102</f>
        <v>108.28999999999999</v>
      </c>
      <c r="N97" s="8">
        <f>'Monthly Expense Worksheet'!N104*'Prior year summary'!$F102</f>
        <v>108.80999999999985</v>
      </c>
      <c r="O97" s="8">
        <f>SUM(C97:N97)</f>
        <v>1299.9999999999998</v>
      </c>
      <c r="P97" s="8">
        <f>'Prior year summary'!F102</f>
        <v>1300</v>
      </c>
    </row>
    <row r="98" spans="1:16" x14ac:dyDescent="0.25">
      <c r="B98" t="s">
        <v>165</v>
      </c>
      <c r="C98" s="8">
        <f>SUM($C97:C97)</f>
        <v>108.28999999999999</v>
      </c>
      <c r="D98" s="8">
        <f>SUM($C97:D97)</f>
        <v>216.57999999999998</v>
      </c>
      <c r="E98" s="8">
        <f>SUM($C97:E97)</f>
        <v>324.87</v>
      </c>
      <c r="F98" s="8">
        <f>SUM($C97:F97)</f>
        <v>433.15999999999997</v>
      </c>
      <c r="G98" s="8">
        <f>SUM($C97:G97)</f>
        <v>541.44999999999993</v>
      </c>
      <c r="H98" s="8">
        <f>SUM($C97:H97)</f>
        <v>649.7399999999999</v>
      </c>
      <c r="I98" s="8">
        <f>SUM($C97:I97)</f>
        <v>758.02999999999986</v>
      </c>
      <c r="J98" s="8">
        <f>SUM($C97:J97)</f>
        <v>866.31999999999982</v>
      </c>
      <c r="K98" s="8">
        <f>SUM($C97:K97)</f>
        <v>974.60999999999979</v>
      </c>
      <c r="L98" s="8">
        <f>SUM($C97:L97)</f>
        <v>1082.8999999999999</v>
      </c>
      <c r="M98" s="8">
        <f>SUM($C97:M97)</f>
        <v>1191.1899999999998</v>
      </c>
      <c r="N98" s="8">
        <f>SUM($C97:N97)</f>
        <v>1299.9999999999998</v>
      </c>
      <c r="O98" s="8"/>
    </row>
    <row r="99" spans="1:16" x14ac:dyDescent="0.25">
      <c r="B99" t="s">
        <v>188</v>
      </c>
      <c r="C99" s="44"/>
      <c r="D99" s="44"/>
      <c r="E99" s="44"/>
      <c r="F99" s="44"/>
      <c r="G99" s="44"/>
      <c r="H99" s="44"/>
      <c r="I99" s="44"/>
      <c r="J99" s="44"/>
      <c r="K99" s="44"/>
      <c r="L99" s="44"/>
      <c r="M99" s="44"/>
      <c r="N99" s="44"/>
    </row>
    <row r="100" spans="1:16" x14ac:dyDescent="0.25">
      <c r="A100" t="str">
        <f>'Monthly Expense Worksheet'!A105</f>
        <v>Advertising</v>
      </c>
      <c r="B100" t="s">
        <v>164</v>
      </c>
      <c r="C100" s="8">
        <f>'Monthly Expense Worksheet'!C107*'Prior year summary'!$F103</f>
        <v>1915.9</v>
      </c>
      <c r="D100" s="8">
        <f>'Monthly Expense Worksheet'!D107*'Prior year summary'!$F103</f>
        <v>1915.9</v>
      </c>
      <c r="E100" s="8">
        <f>'Monthly Expense Worksheet'!E107*'Prior year summary'!$F103</f>
        <v>1915.9</v>
      </c>
      <c r="F100" s="8">
        <f>'Monthly Expense Worksheet'!F107*'Prior year summary'!$F103</f>
        <v>1915.9</v>
      </c>
      <c r="G100" s="8">
        <f>'Monthly Expense Worksheet'!G107*'Prior year summary'!$F103</f>
        <v>1915.9</v>
      </c>
      <c r="H100" s="8">
        <f>'Monthly Expense Worksheet'!H107*'Prior year summary'!$F103</f>
        <v>1915.9</v>
      </c>
      <c r="I100" s="8">
        <f>'Monthly Expense Worksheet'!I107*'Prior year summary'!$F103</f>
        <v>1915.9</v>
      </c>
      <c r="J100" s="8">
        <f>'Monthly Expense Worksheet'!J107*'Prior year summary'!$F103</f>
        <v>1915.9</v>
      </c>
      <c r="K100" s="8">
        <f>'Monthly Expense Worksheet'!K107*'Prior year summary'!$F103</f>
        <v>1915.9</v>
      </c>
      <c r="L100" s="8">
        <f>'Monthly Expense Worksheet'!L107*'Prior year summary'!$F103</f>
        <v>1915.9</v>
      </c>
      <c r="M100" s="8">
        <f>'Monthly Expense Worksheet'!M107*'Prior year summary'!$F103</f>
        <v>1915.9</v>
      </c>
      <c r="N100" s="8">
        <f>'Monthly Expense Worksheet'!N107*'Prior year summary'!$F103</f>
        <v>1925.0999999999974</v>
      </c>
      <c r="O100" s="8">
        <f>SUM(C100:N100)</f>
        <v>23000</v>
      </c>
      <c r="P100" s="8">
        <f>'Prior year summary'!F103</f>
        <v>23000</v>
      </c>
    </row>
    <row r="101" spans="1:16" x14ac:dyDescent="0.25">
      <c r="B101" t="s">
        <v>165</v>
      </c>
      <c r="C101" s="8">
        <f>SUM($C100:C100)</f>
        <v>1915.9</v>
      </c>
      <c r="D101" s="8">
        <f>SUM($C100:D100)</f>
        <v>3831.8</v>
      </c>
      <c r="E101" s="8">
        <f>SUM($C100:E100)</f>
        <v>5747.7000000000007</v>
      </c>
      <c r="F101" s="8">
        <f>SUM($C100:F100)</f>
        <v>7663.6</v>
      </c>
      <c r="G101" s="8">
        <f>SUM($C100:G100)</f>
        <v>9579.5</v>
      </c>
      <c r="H101" s="8">
        <f>SUM($C100:H100)</f>
        <v>11495.4</v>
      </c>
      <c r="I101" s="8">
        <f>SUM($C100:I100)</f>
        <v>13411.3</v>
      </c>
      <c r="J101" s="8">
        <f>SUM($C100:J100)</f>
        <v>15327.199999999999</v>
      </c>
      <c r="K101" s="8">
        <f>SUM($C100:K100)</f>
        <v>17243.099999999999</v>
      </c>
      <c r="L101" s="8">
        <f>SUM($C100:L100)</f>
        <v>19159</v>
      </c>
      <c r="M101" s="8">
        <f>SUM($C100:M100)</f>
        <v>21074.9</v>
      </c>
      <c r="N101" s="8">
        <f>SUM($C100:N100)</f>
        <v>23000</v>
      </c>
      <c r="O101" s="8"/>
    </row>
    <row r="102" spans="1:16" x14ac:dyDescent="0.25">
      <c r="B102" t="s">
        <v>188</v>
      </c>
      <c r="C102" s="44"/>
      <c r="D102" s="44"/>
      <c r="E102" s="44"/>
      <c r="F102" s="44"/>
      <c r="G102" s="44"/>
      <c r="H102" s="44"/>
      <c r="I102" s="44"/>
      <c r="J102" s="44"/>
      <c r="K102" s="44"/>
      <c r="L102" s="44"/>
      <c r="M102" s="44"/>
      <c r="N102" s="44"/>
    </row>
    <row r="103" spans="1:16" x14ac:dyDescent="0.25">
      <c r="A103" t="str">
        <f>'Monthly Expense Worksheet'!A108</f>
        <v>donations</v>
      </c>
      <c r="B103" t="s">
        <v>164</v>
      </c>
      <c r="C103" s="8">
        <f>'Monthly Expense Worksheet'!C110*'Prior year summary'!$F104</f>
        <v>957.95</v>
      </c>
      <c r="D103" s="8">
        <f>'Monthly Expense Worksheet'!D110*'Prior year summary'!$F104</f>
        <v>957.95</v>
      </c>
      <c r="E103" s="8">
        <f>'Monthly Expense Worksheet'!E110*'Prior year summary'!$F104</f>
        <v>957.95</v>
      </c>
      <c r="F103" s="8">
        <f>'Monthly Expense Worksheet'!F110*'Prior year summary'!$F104</f>
        <v>957.95</v>
      </c>
      <c r="G103" s="8">
        <f>'Monthly Expense Worksheet'!G110*'Prior year summary'!$F104</f>
        <v>957.95</v>
      </c>
      <c r="H103" s="8">
        <f>'Monthly Expense Worksheet'!H110*'Prior year summary'!$F104</f>
        <v>957.95</v>
      </c>
      <c r="I103" s="8">
        <f>'Monthly Expense Worksheet'!I110*'Prior year summary'!$F104</f>
        <v>957.95</v>
      </c>
      <c r="J103" s="8">
        <f>'Monthly Expense Worksheet'!J110*'Prior year summary'!$F104</f>
        <v>957.95</v>
      </c>
      <c r="K103" s="8">
        <f>'Monthly Expense Worksheet'!K110*'Prior year summary'!$F104</f>
        <v>957.95</v>
      </c>
      <c r="L103" s="8">
        <f>'Monthly Expense Worksheet'!L110*'Prior year summary'!$F104</f>
        <v>957.95</v>
      </c>
      <c r="M103" s="8">
        <f>'Monthly Expense Worksheet'!M110*'Prior year summary'!$F104</f>
        <v>957.95</v>
      </c>
      <c r="N103" s="8">
        <f>'Monthly Expense Worksheet'!N110*'Prior year summary'!$F104</f>
        <v>962.5499999999987</v>
      </c>
      <c r="O103" s="8">
        <f>SUM(C103:N103)</f>
        <v>11500</v>
      </c>
      <c r="P103" s="8">
        <f>'Prior year summary'!F104</f>
        <v>11500</v>
      </c>
    </row>
    <row r="104" spans="1:16" x14ac:dyDescent="0.25">
      <c r="B104" t="s">
        <v>165</v>
      </c>
      <c r="C104" s="8">
        <f>SUM($C103:C103)</f>
        <v>957.95</v>
      </c>
      <c r="D104" s="8">
        <f>SUM($C103:D103)</f>
        <v>1915.9</v>
      </c>
      <c r="E104" s="8">
        <f>SUM($C103:E103)</f>
        <v>2873.8500000000004</v>
      </c>
      <c r="F104" s="8">
        <f>SUM($C103:F103)</f>
        <v>3831.8</v>
      </c>
      <c r="G104" s="8">
        <f>SUM($C103:G103)</f>
        <v>4789.75</v>
      </c>
      <c r="H104" s="8">
        <f>SUM($C103:H103)</f>
        <v>5747.7</v>
      </c>
      <c r="I104" s="8">
        <f>SUM($C103:I103)</f>
        <v>6705.65</v>
      </c>
      <c r="J104" s="8">
        <f>SUM($C103:J103)</f>
        <v>7663.5999999999995</v>
      </c>
      <c r="K104" s="8">
        <f>SUM($C103:K103)</f>
        <v>8621.5499999999993</v>
      </c>
      <c r="L104" s="8">
        <f>SUM($C103:L103)</f>
        <v>9579.5</v>
      </c>
      <c r="M104" s="8">
        <f>SUM($C103:M103)</f>
        <v>10537.45</v>
      </c>
      <c r="N104" s="8">
        <f>SUM($C103:N103)</f>
        <v>11500</v>
      </c>
      <c r="O104" s="8"/>
    </row>
    <row r="105" spans="1:16" x14ac:dyDescent="0.25">
      <c r="B105" t="s">
        <v>188</v>
      </c>
      <c r="C105" s="44"/>
      <c r="D105" s="44"/>
      <c r="E105" s="44"/>
      <c r="F105" s="44"/>
      <c r="G105" s="44"/>
      <c r="H105" s="44"/>
      <c r="I105" s="44"/>
      <c r="J105" s="44"/>
      <c r="K105" s="44"/>
      <c r="L105" s="44"/>
      <c r="M105" s="44"/>
      <c r="N105" s="44"/>
    </row>
    <row r="106" spans="1:16" x14ac:dyDescent="0.25">
      <c r="A106" t="str">
        <f>'Monthly Expense Worksheet'!A111</f>
        <v>Meeting</v>
      </c>
      <c r="B106" t="s">
        <v>164</v>
      </c>
      <c r="C106" s="8">
        <f>'Monthly Expense Worksheet'!C113*'Prior year summary'!$F105</f>
        <v>1124.55</v>
      </c>
      <c r="D106" s="8">
        <f>'Monthly Expense Worksheet'!D113*'Prior year summary'!$F105</f>
        <v>1124.55</v>
      </c>
      <c r="E106" s="8">
        <f>'Monthly Expense Worksheet'!E113*'Prior year summary'!$F105</f>
        <v>1124.55</v>
      </c>
      <c r="F106" s="8">
        <f>'Monthly Expense Worksheet'!F113*'Prior year summary'!$F105</f>
        <v>1124.55</v>
      </c>
      <c r="G106" s="8">
        <f>'Monthly Expense Worksheet'!G113*'Prior year summary'!$F105</f>
        <v>1124.55</v>
      </c>
      <c r="H106" s="8">
        <f>'Monthly Expense Worksheet'!H113*'Prior year summary'!$F105</f>
        <v>1124.55</v>
      </c>
      <c r="I106" s="8">
        <f>'Monthly Expense Worksheet'!I113*'Prior year summary'!$F105</f>
        <v>1124.55</v>
      </c>
      <c r="J106" s="8">
        <f>'Monthly Expense Worksheet'!J113*'Prior year summary'!$F105</f>
        <v>1124.55</v>
      </c>
      <c r="K106" s="8">
        <f>'Monthly Expense Worksheet'!K113*'Prior year summary'!$F105</f>
        <v>1124.55</v>
      </c>
      <c r="L106" s="8">
        <f>'Monthly Expense Worksheet'!L113*'Prior year summary'!$F105</f>
        <v>1124.55</v>
      </c>
      <c r="M106" s="8">
        <f>'Monthly Expense Worksheet'!M113*'Prior year summary'!$F105</f>
        <v>1124.55</v>
      </c>
      <c r="N106" s="8">
        <f>'Monthly Expense Worksheet'!N113*'Prior year summary'!$F105</f>
        <v>1129.9499999999985</v>
      </c>
      <c r="O106" s="8">
        <f>SUM(C106:N106)</f>
        <v>13499.999999999996</v>
      </c>
      <c r="P106" s="8">
        <f>'Prior year summary'!F105</f>
        <v>13500</v>
      </c>
    </row>
    <row r="107" spans="1:16" x14ac:dyDescent="0.25">
      <c r="B107" t="s">
        <v>165</v>
      </c>
      <c r="C107" s="8">
        <f>SUM($C106:C106)</f>
        <v>1124.55</v>
      </c>
      <c r="D107" s="8">
        <f>SUM($C106:D106)</f>
        <v>2249.1</v>
      </c>
      <c r="E107" s="8">
        <f>SUM($C106:E106)</f>
        <v>3373.6499999999996</v>
      </c>
      <c r="F107" s="8">
        <f>SUM($C106:F106)</f>
        <v>4498.2</v>
      </c>
      <c r="G107" s="8">
        <f>SUM($C106:G106)</f>
        <v>5622.75</v>
      </c>
      <c r="H107" s="8">
        <f>SUM($C106:H106)</f>
        <v>6747.3</v>
      </c>
      <c r="I107" s="8">
        <f>SUM($C106:I106)</f>
        <v>7871.85</v>
      </c>
      <c r="J107" s="8">
        <f>SUM($C106:J106)</f>
        <v>8996.4</v>
      </c>
      <c r="K107" s="8">
        <f>SUM($C106:K106)</f>
        <v>10120.949999999999</v>
      </c>
      <c r="L107" s="8">
        <f>SUM($C106:L106)</f>
        <v>11245.499999999998</v>
      </c>
      <c r="M107" s="8">
        <f>SUM($C106:M106)</f>
        <v>12370.049999999997</v>
      </c>
      <c r="N107" s="8">
        <f>SUM($C106:N106)</f>
        <v>13499.999999999996</v>
      </c>
      <c r="O107" s="8"/>
    </row>
    <row r="108" spans="1:16" x14ac:dyDescent="0.25">
      <c r="B108" t="s">
        <v>188</v>
      </c>
      <c r="C108" s="44"/>
      <c r="D108" s="44"/>
      <c r="E108" s="44"/>
      <c r="F108" s="44"/>
      <c r="G108" s="44"/>
      <c r="H108" s="44"/>
      <c r="I108" s="44"/>
      <c r="J108" s="44"/>
      <c r="K108" s="44"/>
      <c r="L108" s="44"/>
      <c r="M108" s="44"/>
      <c r="N108" s="44"/>
    </row>
    <row r="109" spans="1:16" x14ac:dyDescent="0.25">
      <c r="A109" t="str">
        <f>'Monthly Expense Worksheet'!A114</f>
        <v>Dues</v>
      </c>
      <c r="B109" t="s">
        <v>164</v>
      </c>
      <c r="C109" s="8">
        <f>'Monthly Expense Worksheet'!C116*'Prior year summary'!$F106</f>
        <v>1174.53</v>
      </c>
      <c r="D109" s="8">
        <f>'Monthly Expense Worksheet'!D116*'Prior year summary'!$F106</f>
        <v>1174.53</v>
      </c>
      <c r="E109" s="8">
        <f>'Monthly Expense Worksheet'!E116*'Prior year summary'!$F106</f>
        <v>1174.53</v>
      </c>
      <c r="F109" s="8">
        <f>'Monthly Expense Worksheet'!F116*'Prior year summary'!$F106</f>
        <v>1174.53</v>
      </c>
      <c r="G109" s="8">
        <f>'Monthly Expense Worksheet'!G116*'Prior year summary'!$F106</f>
        <v>1174.53</v>
      </c>
      <c r="H109" s="8">
        <f>'Monthly Expense Worksheet'!H116*'Prior year summary'!$F106</f>
        <v>1174.53</v>
      </c>
      <c r="I109" s="8">
        <f>'Monthly Expense Worksheet'!I116*'Prior year summary'!$F106</f>
        <v>1174.53</v>
      </c>
      <c r="J109" s="8">
        <f>'Monthly Expense Worksheet'!J116*'Prior year summary'!$F106</f>
        <v>1174.53</v>
      </c>
      <c r="K109" s="8">
        <f>'Monthly Expense Worksheet'!K116*'Prior year summary'!$F106</f>
        <v>1174.53</v>
      </c>
      <c r="L109" s="8">
        <f>'Monthly Expense Worksheet'!L116*'Prior year summary'!$F106</f>
        <v>1174.53</v>
      </c>
      <c r="M109" s="8">
        <f>'Monthly Expense Worksheet'!M116*'Prior year summary'!$F106</f>
        <v>1174.53</v>
      </c>
      <c r="N109" s="8">
        <f>'Monthly Expense Worksheet'!N116*'Prior year summary'!$F106</f>
        <v>1180.1699999999985</v>
      </c>
      <c r="O109" s="8">
        <f>SUM(C109:N109)</f>
        <v>14100</v>
      </c>
      <c r="P109" s="8">
        <f>'Prior year summary'!F106</f>
        <v>14100</v>
      </c>
    </row>
    <row r="110" spans="1:16" x14ac:dyDescent="0.25">
      <c r="B110" t="s">
        <v>165</v>
      </c>
      <c r="C110" s="8">
        <f>SUM($C109:C109)</f>
        <v>1174.53</v>
      </c>
      <c r="D110" s="8">
        <f>SUM($C109:D109)</f>
        <v>2349.06</v>
      </c>
      <c r="E110" s="8">
        <f>SUM($C109:E109)</f>
        <v>3523.59</v>
      </c>
      <c r="F110" s="8">
        <f>SUM($C109:F109)</f>
        <v>4698.12</v>
      </c>
      <c r="G110" s="8">
        <f>SUM($C109:G109)</f>
        <v>5872.65</v>
      </c>
      <c r="H110" s="8">
        <f>SUM($C109:H109)</f>
        <v>7047.1799999999994</v>
      </c>
      <c r="I110" s="8">
        <f>SUM($C109:I109)</f>
        <v>8221.7099999999991</v>
      </c>
      <c r="J110" s="8">
        <f>SUM($C109:J109)</f>
        <v>9396.24</v>
      </c>
      <c r="K110" s="8">
        <f>SUM($C109:K109)</f>
        <v>10570.77</v>
      </c>
      <c r="L110" s="8">
        <f>SUM($C109:L109)</f>
        <v>11745.300000000001</v>
      </c>
      <c r="M110" s="8">
        <f>SUM($C109:M109)</f>
        <v>12919.830000000002</v>
      </c>
      <c r="N110" s="8">
        <f>SUM($C109:N109)</f>
        <v>14100</v>
      </c>
      <c r="O110" s="8"/>
    </row>
    <row r="111" spans="1:16" x14ac:dyDescent="0.25">
      <c r="B111" t="s">
        <v>188</v>
      </c>
      <c r="C111" s="44"/>
      <c r="D111" s="44"/>
      <c r="E111" s="44"/>
      <c r="F111" s="44"/>
      <c r="G111" s="44"/>
      <c r="H111" s="44"/>
      <c r="I111" s="44"/>
      <c r="J111" s="44"/>
      <c r="K111" s="44"/>
      <c r="L111" s="44"/>
      <c r="M111" s="44"/>
      <c r="N111" s="44"/>
    </row>
    <row r="112" spans="1:16" x14ac:dyDescent="0.25">
      <c r="A112" t="str">
        <f>'Monthly Expense Worksheet'!A117</f>
        <v>Farm plan</v>
      </c>
      <c r="B112" t="s">
        <v>164</v>
      </c>
      <c r="C112" s="8">
        <f>'Monthly Expense Worksheet'!C119*'Prior year summary'!$F107</f>
        <v>1790.95</v>
      </c>
      <c r="D112" s="8">
        <f>'Monthly Expense Worksheet'!D119*'Prior year summary'!$F107</f>
        <v>1790.95</v>
      </c>
      <c r="E112" s="8">
        <f>'Monthly Expense Worksheet'!E119*'Prior year summary'!$F107</f>
        <v>1790.95</v>
      </c>
      <c r="F112" s="8">
        <f>'Monthly Expense Worksheet'!F119*'Prior year summary'!$F107</f>
        <v>1790.95</v>
      </c>
      <c r="G112" s="8">
        <f>'Monthly Expense Worksheet'!G119*'Prior year summary'!$F107</f>
        <v>1790.95</v>
      </c>
      <c r="H112" s="8">
        <f>'Monthly Expense Worksheet'!H119*'Prior year summary'!$F107</f>
        <v>1790.95</v>
      </c>
      <c r="I112" s="8">
        <f>'Monthly Expense Worksheet'!I119*'Prior year summary'!$F107</f>
        <v>1790.95</v>
      </c>
      <c r="J112" s="8">
        <f>'Monthly Expense Worksheet'!J119*'Prior year summary'!$F107</f>
        <v>1790.95</v>
      </c>
      <c r="K112" s="8">
        <f>'Monthly Expense Worksheet'!K119*'Prior year summary'!$F107</f>
        <v>1790.95</v>
      </c>
      <c r="L112" s="8">
        <f>'Monthly Expense Worksheet'!L119*'Prior year summary'!$F107</f>
        <v>1790.95</v>
      </c>
      <c r="M112" s="8">
        <f>'Monthly Expense Worksheet'!M119*'Prior year summary'!$F107</f>
        <v>1790.95</v>
      </c>
      <c r="N112" s="8">
        <f>'Monthly Expense Worksheet'!N119*'Prior year summary'!$F107</f>
        <v>1799.5499999999975</v>
      </c>
      <c r="O112" s="8">
        <f>SUM(C112:N112)</f>
        <v>21500</v>
      </c>
      <c r="P112" s="8">
        <f>'Prior year summary'!F107</f>
        <v>21500</v>
      </c>
    </row>
    <row r="113" spans="1:16" x14ac:dyDescent="0.25">
      <c r="B113" t="s">
        <v>165</v>
      </c>
      <c r="C113" s="8">
        <f>SUM($C112:C112)</f>
        <v>1790.95</v>
      </c>
      <c r="D113" s="8">
        <f>SUM($C112:D112)</f>
        <v>3581.9</v>
      </c>
      <c r="E113" s="8">
        <f>SUM($C112:E112)</f>
        <v>5372.85</v>
      </c>
      <c r="F113" s="8">
        <f>SUM($C112:F112)</f>
        <v>7163.8</v>
      </c>
      <c r="G113" s="8">
        <f>SUM($C112:G112)</f>
        <v>8954.75</v>
      </c>
      <c r="H113" s="8">
        <f>SUM($C112:H112)</f>
        <v>10745.7</v>
      </c>
      <c r="I113" s="8">
        <f>SUM($C112:I112)</f>
        <v>12536.650000000001</v>
      </c>
      <c r="J113" s="8">
        <f>SUM($C112:J112)</f>
        <v>14327.600000000002</v>
      </c>
      <c r="K113" s="8">
        <f>SUM($C112:K112)</f>
        <v>16118.550000000003</v>
      </c>
      <c r="L113" s="8">
        <f>SUM($C112:L112)</f>
        <v>17909.500000000004</v>
      </c>
      <c r="M113" s="8">
        <f>SUM($C112:M112)</f>
        <v>19700.450000000004</v>
      </c>
      <c r="N113" s="8">
        <f>SUM($C112:N112)</f>
        <v>21500</v>
      </c>
      <c r="O113" s="8"/>
    </row>
    <row r="114" spans="1:16" x14ac:dyDescent="0.25">
      <c r="B114" t="s">
        <v>188</v>
      </c>
      <c r="C114" s="44"/>
      <c r="D114" s="44"/>
      <c r="E114" s="44"/>
      <c r="F114" s="44"/>
      <c r="G114" s="44"/>
      <c r="H114" s="44"/>
      <c r="I114" s="44"/>
      <c r="J114" s="44"/>
      <c r="K114" s="44"/>
      <c r="L114" s="44"/>
      <c r="M114" s="44"/>
      <c r="N114" s="44"/>
    </row>
    <row r="115" spans="1:16" x14ac:dyDescent="0.25">
      <c r="A115" t="str">
        <f>'Monthly Expense Worksheet'!A120</f>
        <v>Travel</v>
      </c>
      <c r="B115" t="s">
        <v>164</v>
      </c>
      <c r="C115" s="8">
        <f>'Monthly Expense Worksheet'!C122*'Prior year summary'!$F108</f>
        <v>749.7</v>
      </c>
      <c r="D115" s="8">
        <f>'Monthly Expense Worksheet'!D122*'Prior year summary'!$F108</f>
        <v>749.7</v>
      </c>
      <c r="E115" s="8">
        <f>'Monthly Expense Worksheet'!E122*'Prior year summary'!$F108</f>
        <v>749.7</v>
      </c>
      <c r="F115" s="8">
        <f>'Monthly Expense Worksheet'!F122*'Prior year summary'!$F108</f>
        <v>749.7</v>
      </c>
      <c r="G115" s="8">
        <f>'Monthly Expense Worksheet'!G122*'Prior year summary'!$F108</f>
        <v>749.7</v>
      </c>
      <c r="H115" s="8">
        <f>'Monthly Expense Worksheet'!H122*'Prior year summary'!$F108</f>
        <v>749.7</v>
      </c>
      <c r="I115" s="8">
        <f>'Monthly Expense Worksheet'!I122*'Prior year summary'!$F108</f>
        <v>749.7</v>
      </c>
      <c r="J115" s="8">
        <f>'Monthly Expense Worksheet'!J122*'Prior year summary'!$F108</f>
        <v>749.7</v>
      </c>
      <c r="K115" s="8">
        <f>'Monthly Expense Worksheet'!K122*'Prior year summary'!$F108</f>
        <v>749.7</v>
      </c>
      <c r="L115" s="8">
        <f>'Monthly Expense Worksheet'!L122*'Prior year summary'!$F108</f>
        <v>749.7</v>
      </c>
      <c r="M115" s="8">
        <f>'Monthly Expense Worksheet'!M122*'Prior year summary'!$F108</f>
        <v>749.7</v>
      </c>
      <c r="N115" s="8">
        <f>'Monthly Expense Worksheet'!N122*'Prior year summary'!$F108</f>
        <v>753.29999999999893</v>
      </c>
      <c r="O115" s="8">
        <f>SUM(C115:N115)</f>
        <v>8999.9999999999982</v>
      </c>
      <c r="P115" s="8">
        <f>'Prior year summary'!F108</f>
        <v>9000</v>
      </c>
    </row>
    <row r="116" spans="1:16" x14ac:dyDescent="0.25">
      <c r="B116" t="s">
        <v>165</v>
      </c>
      <c r="C116" s="8">
        <f>SUM($C115:C115)</f>
        <v>749.7</v>
      </c>
      <c r="D116" s="8">
        <f>SUM($C115:D115)</f>
        <v>1499.4</v>
      </c>
      <c r="E116" s="8">
        <f>SUM($C115:E115)</f>
        <v>2249.1000000000004</v>
      </c>
      <c r="F116" s="8">
        <f>SUM($C115:F115)</f>
        <v>2998.8</v>
      </c>
      <c r="G116" s="8">
        <f>SUM($C115:G115)</f>
        <v>3748.5</v>
      </c>
      <c r="H116" s="8">
        <f>SUM($C115:H115)</f>
        <v>4498.2</v>
      </c>
      <c r="I116" s="8">
        <f>SUM($C115:I115)</f>
        <v>5247.9</v>
      </c>
      <c r="J116" s="8">
        <f>SUM($C115:J115)</f>
        <v>5997.5999999999995</v>
      </c>
      <c r="K116" s="8">
        <f>SUM($C115:K115)</f>
        <v>6747.2999999999993</v>
      </c>
      <c r="L116" s="8">
        <f>SUM($C115:L115)</f>
        <v>7496.9999999999991</v>
      </c>
      <c r="M116" s="8">
        <f>SUM($C115:M115)</f>
        <v>8246.6999999999989</v>
      </c>
      <c r="N116" s="8">
        <f>SUM($C115:N115)</f>
        <v>8999.9999999999982</v>
      </c>
      <c r="O116" s="8"/>
    </row>
    <row r="117" spans="1:16" x14ac:dyDescent="0.25">
      <c r="B117" t="s">
        <v>188</v>
      </c>
      <c r="C117" s="44"/>
      <c r="D117" s="44"/>
      <c r="E117" s="44"/>
      <c r="F117" s="44"/>
      <c r="G117" s="44"/>
      <c r="H117" s="44"/>
      <c r="I117" s="44"/>
      <c r="J117" s="44"/>
      <c r="K117" s="44"/>
      <c r="L117" s="44"/>
      <c r="M117" s="44"/>
      <c r="N117" s="44"/>
    </row>
    <row r="118" spans="1:16" x14ac:dyDescent="0.25">
      <c r="A118" t="str">
        <f>'Monthly Expense Worksheet'!A123</f>
        <v>Tags</v>
      </c>
      <c r="B118" t="s">
        <v>164</v>
      </c>
      <c r="C118" s="8">
        <f>'Monthly Expense Worksheet'!C125*'Prior year summary'!$F109</f>
        <v>1624.35</v>
      </c>
      <c r="D118" s="8">
        <f>'Monthly Expense Worksheet'!D125*'Prior year summary'!$F109</f>
        <v>1624.35</v>
      </c>
      <c r="E118" s="8">
        <f>'Monthly Expense Worksheet'!E125*'Prior year summary'!$F109</f>
        <v>1624.35</v>
      </c>
      <c r="F118" s="8">
        <f>'Monthly Expense Worksheet'!F125*'Prior year summary'!$F109</f>
        <v>1624.35</v>
      </c>
      <c r="G118" s="8">
        <f>'Monthly Expense Worksheet'!G125*'Prior year summary'!$F109</f>
        <v>1624.35</v>
      </c>
      <c r="H118" s="8">
        <f>'Monthly Expense Worksheet'!H125*'Prior year summary'!$F109</f>
        <v>1624.35</v>
      </c>
      <c r="I118" s="8">
        <f>'Monthly Expense Worksheet'!I125*'Prior year summary'!$F109</f>
        <v>1624.35</v>
      </c>
      <c r="J118" s="8">
        <f>'Monthly Expense Worksheet'!J125*'Prior year summary'!$F109</f>
        <v>1624.35</v>
      </c>
      <c r="K118" s="8">
        <f>'Monthly Expense Worksheet'!K125*'Prior year summary'!$F109</f>
        <v>1624.35</v>
      </c>
      <c r="L118" s="8">
        <f>'Monthly Expense Worksheet'!L125*'Prior year summary'!$F109</f>
        <v>1624.35</v>
      </c>
      <c r="M118" s="8">
        <f>'Monthly Expense Worksheet'!M125*'Prior year summary'!$F109</f>
        <v>1624.35</v>
      </c>
      <c r="N118" s="8">
        <f>'Monthly Expense Worksheet'!N125*'Prior year summary'!$F109</f>
        <v>1632.1499999999978</v>
      </c>
      <c r="O118" s="8">
        <f>SUM(C118:N118)</f>
        <v>19500</v>
      </c>
      <c r="P118" s="8">
        <f>'Prior year summary'!F109</f>
        <v>19500</v>
      </c>
    </row>
    <row r="119" spans="1:16" x14ac:dyDescent="0.25">
      <c r="B119" t="s">
        <v>165</v>
      </c>
      <c r="C119" s="8">
        <f>SUM($C118:C118)</f>
        <v>1624.35</v>
      </c>
      <c r="D119" s="8">
        <f>SUM($C118:D118)</f>
        <v>3248.7</v>
      </c>
      <c r="E119" s="8">
        <f>SUM($C118:E118)</f>
        <v>4873.0499999999993</v>
      </c>
      <c r="F119" s="8">
        <f>SUM($C118:F118)</f>
        <v>6497.4</v>
      </c>
      <c r="G119" s="8">
        <f>SUM($C118:G118)</f>
        <v>8121.75</v>
      </c>
      <c r="H119" s="8">
        <f>SUM($C118:H118)</f>
        <v>9746.1</v>
      </c>
      <c r="I119" s="8">
        <f>SUM($C118:I118)</f>
        <v>11370.45</v>
      </c>
      <c r="J119" s="8">
        <f>SUM($C118:J118)</f>
        <v>12994.800000000001</v>
      </c>
      <c r="K119" s="8">
        <f>SUM($C118:K118)</f>
        <v>14619.150000000001</v>
      </c>
      <c r="L119" s="8">
        <f>SUM($C118:L118)</f>
        <v>16243.500000000002</v>
      </c>
      <c r="M119" s="8">
        <f>SUM($C118:M118)</f>
        <v>17867.850000000002</v>
      </c>
      <c r="N119" s="8">
        <f>SUM($C118:N118)</f>
        <v>19500</v>
      </c>
      <c r="O119" s="8"/>
    </row>
    <row r="120" spans="1:16" x14ac:dyDescent="0.25">
      <c r="B120" t="s">
        <v>188</v>
      </c>
      <c r="C120" s="44"/>
      <c r="D120" s="44"/>
      <c r="E120" s="44"/>
      <c r="F120" s="44"/>
      <c r="G120" s="44"/>
      <c r="H120" s="44"/>
      <c r="I120" s="44"/>
      <c r="J120" s="44"/>
      <c r="K120" s="44"/>
      <c r="L120" s="44"/>
      <c r="M120" s="44"/>
      <c r="N120" s="44"/>
    </row>
    <row r="121" spans="1:16" x14ac:dyDescent="0.25">
      <c r="A121" t="str">
        <f>'Monthly Expense Worksheet'!A126</f>
        <v>Lease</v>
      </c>
      <c r="B121" t="s">
        <v>164</v>
      </c>
      <c r="C121" s="8">
        <f>'Monthly Expense Worksheet'!C128*'Prior year summary'!$F110</f>
        <v>3223.71</v>
      </c>
      <c r="D121" s="8">
        <f>'Monthly Expense Worksheet'!D128*'Prior year summary'!$F110</f>
        <v>3223.71</v>
      </c>
      <c r="E121" s="8">
        <f>'Monthly Expense Worksheet'!E128*'Prior year summary'!$F110</f>
        <v>3223.71</v>
      </c>
      <c r="F121" s="8">
        <f>'Monthly Expense Worksheet'!F128*'Prior year summary'!$F110</f>
        <v>3223.71</v>
      </c>
      <c r="G121" s="8">
        <f>'Monthly Expense Worksheet'!G128*'Prior year summary'!$F110</f>
        <v>3223.71</v>
      </c>
      <c r="H121" s="8">
        <f>'Monthly Expense Worksheet'!H128*'Prior year summary'!$F110</f>
        <v>3223.71</v>
      </c>
      <c r="I121" s="8">
        <f>'Monthly Expense Worksheet'!I128*'Prior year summary'!$F110</f>
        <v>3223.71</v>
      </c>
      <c r="J121" s="8">
        <f>'Monthly Expense Worksheet'!J128*'Prior year summary'!$F110</f>
        <v>3223.71</v>
      </c>
      <c r="K121" s="8">
        <f>'Monthly Expense Worksheet'!K128*'Prior year summary'!$F110</f>
        <v>3223.71</v>
      </c>
      <c r="L121" s="8">
        <f>'Monthly Expense Worksheet'!L128*'Prior year summary'!$F110</f>
        <v>3223.71</v>
      </c>
      <c r="M121" s="8">
        <f>'Monthly Expense Worksheet'!M128*'Prior year summary'!$F110</f>
        <v>3223.71</v>
      </c>
      <c r="N121" s="8">
        <f>'Monthly Expense Worksheet'!N128*'Prior year summary'!$F110</f>
        <v>3239.1899999999955</v>
      </c>
      <c r="O121" s="8">
        <f>SUM(C121:N121)</f>
        <v>38699.999999999993</v>
      </c>
      <c r="P121" s="8">
        <f>'Prior year summary'!F110</f>
        <v>38700</v>
      </c>
    </row>
    <row r="122" spans="1:16" x14ac:dyDescent="0.25">
      <c r="B122" t="s">
        <v>165</v>
      </c>
      <c r="C122" s="8">
        <f>SUM($C121:C121)</f>
        <v>3223.71</v>
      </c>
      <c r="D122" s="8">
        <f>SUM($C121:D121)</f>
        <v>6447.42</v>
      </c>
      <c r="E122" s="8">
        <f>SUM($C121:E121)</f>
        <v>9671.130000000001</v>
      </c>
      <c r="F122" s="8">
        <f>SUM($C121:F121)</f>
        <v>12894.84</v>
      </c>
      <c r="G122" s="8">
        <f>SUM($C121:G121)</f>
        <v>16118.55</v>
      </c>
      <c r="H122" s="8">
        <f>SUM($C121:H121)</f>
        <v>19342.259999999998</v>
      </c>
      <c r="I122" s="8">
        <f>SUM($C121:I121)</f>
        <v>22565.969999999998</v>
      </c>
      <c r="J122" s="8">
        <f>SUM($C121:J121)</f>
        <v>25789.679999999997</v>
      </c>
      <c r="K122" s="8">
        <f>SUM($C121:K121)</f>
        <v>29013.389999999996</v>
      </c>
      <c r="L122" s="8">
        <f>SUM($C121:L121)</f>
        <v>32237.099999999995</v>
      </c>
      <c r="M122" s="8">
        <f>SUM($C121:M121)</f>
        <v>35460.81</v>
      </c>
      <c r="N122" s="8">
        <f>SUM($C121:N121)</f>
        <v>38699.999999999993</v>
      </c>
      <c r="O122" s="8"/>
    </row>
    <row r="123" spans="1:16" x14ac:dyDescent="0.25">
      <c r="B123" t="s">
        <v>188</v>
      </c>
      <c r="C123" s="44"/>
      <c r="D123" s="44"/>
      <c r="E123" s="44"/>
      <c r="F123" s="44"/>
      <c r="G123" s="44"/>
      <c r="H123" s="44"/>
      <c r="I123" s="44"/>
      <c r="J123" s="44"/>
      <c r="K123" s="44"/>
      <c r="L123" s="44"/>
      <c r="M123" s="44"/>
      <c r="N123" s="44"/>
    </row>
    <row r="124" spans="1:16" x14ac:dyDescent="0.25">
      <c r="A124" t="str">
        <f>'Monthly Expense Worksheet'!A129</f>
        <v>Mkt service</v>
      </c>
      <c r="B124" t="s">
        <v>164</v>
      </c>
      <c r="C124" s="8">
        <f>'Monthly Expense Worksheet'!C131*'Prior year summary'!$F111</f>
        <v>999.6</v>
      </c>
      <c r="D124" s="8">
        <f>'Monthly Expense Worksheet'!D131*'Prior year summary'!$F111</f>
        <v>999.6</v>
      </c>
      <c r="E124" s="8">
        <f>'Monthly Expense Worksheet'!E131*'Prior year summary'!$F111</f>
        <v>999.6</v>
      </c>
      <c r="F124" s="8">
        <f>'Monthly Expense Worksheet'!F131*'Prior year summary'!$F111</f>
        <v>999.6</v>
      </c>
      <c r="G124" s="8">
        <f>'Monthly Expense Worksheet'!G131*'Prior year summary'!$F111</f>
        <v>999.6</v>
      </c>
      <c r="H124" s="8">
        <f>'Monthly Expense Worksheet'!H131*'Prior year summary'!$F111</f>
        <v>999.6</v>
      </c>
      <c r="I124" s="8">
        <f>'Monthly Expense Worksheet'!I131*'Prior year summary'!$F111</f>
        <v>999.6</v>
      </c>
      <c r="J124" s="8">
        <f>'Monthly Expense Worksheet'!J131*'Prior year summary'!$F111</f>
        <v>999.6</v>
      </c>
      <c r="K124" s="8">
        <f>'Monthly Expense Worksheet'!K131*'Prior year summary'!$F111</f>
        <v>999.6</v>
      </c>
      <c r="L124" s="8">
        <f>'Monthly Expense Worksheet'!L131*'Prior year summary'!$F111</f>
        <v>999.6</v>
      </c>
      <c r="M124" s="8">
        <f>'Monthly Expense Worksheet'!M131*'Prior year summary'!$F111</f>
        <v>999.6</v>
      </c>
      <c r="N124" s="8">
        <f>'Monthly Expense Worksheet'!N131*'Prior year summary'!$F111</f>
        <v>1004.3999999999986</v>
      </c>
      <c r="O124" s="8">
        <f>SUM(C124:N124)</f>
        <v>12000</v>
      </c>
      <c r="P124" s="8">
        <f>'Prior year summary'!F111</f>
        <v>12000</v>
      </c>
    </row>
    <row r="125" spans="1:16" x14ac:dyDescent="0.25">
      <c r="B125" t="s">
        <v>165</v>
      </c>
      <c r="C125" s="8">
        <f>SUM($C124:C124)</f>
        <v>999.6</v>
      </c>
      <c r="D125" s="8">
        <f>SUM($C124:D124)</f>
        <v>1999.2</v>
      </c>
      <c r="E125" s="8">
        <f>SUM($C124:E124)</f>
        <v>2998.8</v>
      </c>
      <c r="F125" s="8">
        <f>SUM($C124:F124)</f>
        <v>3998.4</v>
      </c>
      <c r="G125" s="8">
        <f>SUM($C124:G124)</f>
        <v>4998</v>
      </c>
      <c r="H125" s="8">
        <f>SUM($C124:H124)</f>
        <v>5997.6</v>
      </c>
      <c r="I125" s="8">
        <f>SUM($C124:I124)</f>
        <v>6997.2000000000007</v>
      </c>
      <c r="J125" s="8">
        <f>SUM($C124:J124)</f>
        <v>7996.8000000000011</v>
      </c>
      <c r="K125" s="8">
        <f>SUM($C124:K124)</f>
        <v>8996.4000000000015</v>
      </c>
      <c r="L125" s="8">
        <f>SUM($C124:L124)</f>
        <v>9996.0000000000018</v>
      </c>
      <c r="M125" s="8">
        <f>SUM($C124:M124)</f>
        <v>10995.600000000002</v>
      </c>
      <c r="N125" s="8">
        <f>SUM($C124:N124)</f>
        <v>12000</v>
      </c>
      <c r="O125" s="8"/>
    </row>
    <row r="126" spans="1:16" x14ac:dyDescent="0.25">
      <c r="B126" t="s">
        <v>188</v>
      </c>
      <c r="C126" s="44"/>
      <c r="D126" s="44"/>
      <c r="E126" s="44"/>
      <c r="F126" s="44"/>
      <c r="G126" s="44"/>
      <c r="H126" s="44"/>
      <c r="I126" s="44"/>
      <c r="J126" s="44"/>
      <c r="K126" s="44"/>
      <c r="L126" s="44"/>
      <c r="M126" s="44"/>
      <c r="N126" s="44"/>
    </row>
    <row r="127" spans="1:16" x14ac:dyDescent="0.25">
      <c r="A127" t="str">
        <f>'Monthly Expense Worksheet'!A132</f>
        <v>Credit card</v>
      </c>
      <c r="B127" t="s">
        <v>164</v>
      </c>
      <c r="C127" s="8">
        <f>'Monthly Expense Worksheet'!C134*'Prior year summary'!$F112</f>
        <v>5414.5</v>
      </c>
      <c r="D127" s="8">
        <f>'Monthly Expense Worksheet'!D134*'Prior year summary'!$F112</f>
        <v>5414.5</v>
      </c>
      <c r="E127" s="8">
        <f>'Monthly Expense Worksheet'!E134*'Prior year summary'!$F112</f>
        <v>5414.5</v>
      </c>
      <c r="F127" s="8">
        <f>'Monthly Expense Worksheet'!F134*'Prior year summary'!$F112</f>
        <v>5414.5</v>
      </c>
      <c r="G127" s="8">
        <f>'Monthly Expense Worksheet'!G134*'Prior year summary'!$F112</f>
        <v>5414.5</v>
      </c>
      <c r="H127" s="8">
        <f>'Monthly Expense Worksheet'!H134*'Prior year summary'!$F112</f>
        <v>5414.5</v>
      </c>
      <c r="I127" s="8">
        <f>'Monthly Expense Worksheet'!I134*'Prior year summary'!$F112</f>
        <v>5414.5</v>
      </c>
      <c r="J127" s="8">
        <f>'Monthly Expense Worksheet'!J134*'Prior year summary'!$F112</f>
        <v>5414.5</v>
      </c>
      <c r="K127" s="8">
        <f>'Monthly Expense Worksheet'!K134*'Prior year summary'!$F112</f>
        <v>5414.5</v>
      </c>
      <c r="L127" s="8">
        <f>'Monthly Expense Worksheet'!L134*'Prior year summary'!$F112</f>
        <v>5414.5</v>
      </c>
      <c r="M127" s="8">
        <f>'Monthly Expense Worksheet'!M134*'Prior year summary'!$F112</f>
        <v>5414.5</v>
      </c>
      <c r="N127" s="8">
        <f>'Monthly Expense Worksheet'!N134*'Prior year summary'!$F112</f>
        <v>5440.4999999999927</v>
      </c>
      <c r="O127" s="8">
        <f>SUM(C127:N127)</f>
        <v>64999.999999999993</v>
      </c>
      <c r="P127" s="8">
        <f>'Prior year summary'!F112</f>
        <v>65000</v>
      </c>
    </row>
    <row r="128" spans="1:16" x14ac:dyDescent="0.25">
      <c r="B128" t="s">
        <v>165</v>
      </c>
      <c r="C128" s="8">
        <f>SUM($C127:C127)</f>
        <v>5414.5</v>
      </c>
      <c r="D128" s="8">
        <f>SUM($C127:D127)</f>
        <v>10829</v>
      </c>
      <c r="E128" s="8">
        <f>SUM($C127:E127)</f>
        <v>16243.5</v>
      </c>
      <c r="F128" s="8">
        <f>SUM($C127:F127)</f>
        <v>21658</v>
      </c>
      <c r="G128" s="8">
        <f>SUM($C127:G127)</f>
        <v>27072.5</v>
      </c>
      <c r="H128" s="8">
        <f>SUM($C127:H127)</f>
        <v>32487</v>
      </c>
      <c r="I128" s="8">
        <f>SUM($C127:I127)</f>
        <v>37901.5</v>
      </c>
      <c r="J128" s="8">
        <f>SUM($C127:J127)</f>
        <v>43316</v>
      </c>
      <c r="K128" s="8">
        <f>SUM($C127:K127)</f>
        <v>48730.5</v>
      </c>
      <c r="L128" s="8">
        <f>SUM($C127:L127)</f>
        <v>54145</v>
      </c>
      <c r="M128" s="8">
        <f>SUM($C127:M127)</f>
        <v>59559.5</v>
      </c>
      <c r="N128" s="8">
        <f>SUM($C127:N127)</f>
        <v>64999.999999999993</v>
      </c>
      <c r="O128" s="8"/>
    </row>
    <row r="129" spans="1:16" x14ac:dyDescent="0.25">
      <c r="B129" t="s">
        <v>188</v>
      </c>
      <c r="C129" s="44"/>
      <c r="D129" s="44"/>
      <c r="E129" s="44"/>
      <c r="F129" s="44"/>
      <c r="G129" s="44"/>
      <c r="H129" s="44"/>
      <c r="I129" s="44"/>
      <c r="J129" s="44"/>
      <c r="K129" s="44"/>
      <c r="L129" s="44"/>
      <c r="M129" s="44"/>
      <c r="N129" s="44"/>
    </row>
    <row r="130" spans="1:16" x14ac:dyDescent="0.25">
      <c r="A130" t="str">
        <f>'Monthly Expense Worksheet'!A135</f>
        <v>Fumigants</v>
      </c>
      <c r="B130" t="s">
        <v>164</v>
      </c>
      <c r="C130" s="8">
        <f>'Monthly Expense Worksheet'!C137*'Prior year summary'!$F113</f>
        <v>708.05</v>
      </c>
      <c r="D130" s="8">
        <f>'Monthly Expense Worksheet'!D137*'Prior year summary'!$F113</f>
        <v>708.05</v>
      </c>
      <c r="E130" s="8">
        <f>'Monthly Expense Worksheet'!E137*'Prior year summary'!$F113</f>
        <v>708.05</v>
      </c>
      <c r="F130" s="8">
        <f>'Monthly Expense Worksheet'!F137*'Prior year summary'!$F113</f>
        <v>708.05</v>
      </c>
      <c r="G130" s="8">
        <f>'Monthly Expense Worksheet'!G137*'Prior year summary'!$F113</f>
        <v>708.05</v>
      </c>
      <c r="H130" s="8">
        <f>'Monthly Expense Worksheet'!H137*'Prior year summary'!$F113</f>
        <v>708.05</v>
      </c>
      <c r="I130" s="8">
        <f>'Monthly Expense Worksheet'!I137*'Prior year summary'!$F113</f>
        <v>708.05</v>
      </c>
      <c r="J130" s="8">
        <f>'Monthly Expense Worksheet'!J137*'Prior year summary'!$F113</f>
        <v>708.05</v>
      </c>
      <c r="K130" s="8">
        <f>'Monthly Expense Worksheet'!K137*'Prior year summary'!$F113</f>
        <v>708.05</v>
      </c>
      <c r="L130" s="8">
        <f>'Monthly Expense Worksheet'!L137*'Prior year summary'!$F113</f>
        <v>708.05</v>
      </c>
      <c r="M130" s="8">
        <f>'Monthly Expense Worksheet'!M137*'Prior year summary'!$F113</f>
        <v>708.05</v>
      </c>
      <c r="N130" s="8">
        <f>'Monthly Expense Worksheet'!N137*'Prior year summary'!$F113</f>
        <v>711.44999999999902</v>
      </c>
      <c r="O130" s="8">
        <f>SUM(C130:N130)</f>
        <v>8500</v>
      </c>
      <c r="P130" s="8">
        <f>'Prior year summary'!F113</f>
        <v>8500</v>
      </c>
    </row>
    <row r="131" spans="1:16" x14ac:dyDescent="0.25">
      <c r="B131" t="s">
        <v>165</v>
      </c>
      <c r="C131" s="8">
        <f>SUM($C130:C130)</f>
        <v>708.05</v>
      </c>
      <c r="D131" s="8">
        <f>SUM($C130:D130)</f>
        <v>1416.1</v>
      </c>
      <c r="E131" s="8">
        <f>SUM($C130:E130)</f>
        <v>2124.1499999999996</v>
      </c>
      <c r="F131" s="8">
        <f>SUM($C130:F130)</f>
        <v>2832.2</v>
      </c>
      <c r="G131" s="8">
        <f>SUM($C130:G130)</f>
        <v>3540.25</v>
      </c>
      <c r="H131" s="8">
        <f>SUM($C130:H130)</f>
        <v>4248.3</v>
      </c>
      <c r="I131" s="8">
        <f>SUM($C130:I130)</f>
        <v>4956.3500000000004</v>
      </c>
      <c r="J131" s="8">
        <f>SUM($C130:J130)</f>
        <v>5664.4000000000005</v>
      </c>
      <c r="K131" s="8">
        <f>SUM($C130:K130)</f>
        <v>6372.4500000000007</v>
      </c>
      <c r="L131" s="8">
        <f>SUM($C130:L130)</f>
        <v>7080.5000000000009</v>
      </c>
      <c r="M131" s="8">
        <f>SUM($C130:M130)</f>
        <v>7788.5500000000011</v>
      </c>
      <c r="N131" s="8">
        <f>SUM($C130:N130)</f>
        <v>8500</v>
      </c>
      <c r="O131" s="8"/>
    </row>
    <row r="132" spans="1:16" x14ac:dyDescent="0.25">
      <c r="B132" t="s">
        <v>188</v>
      </c>
      <c r="C132" s="44"/>
      <c r="D132" s="44"/>
      <c r="E132" s="44"/>
      <c r="F132" s="44"/>
      <c r="G132" s="44"/>
      <c r="H132" s="44"/>
      <c r="I132" s="44"/>
      <c r="J132" s="44"/>
      <c r="K132" s="44"/>
      <c r="L132" s="44"/>
      <c r="M132" s="44"/>
      <c r="N132" s="44"/>
    </row>
    <row r="133" spans="1:16" x14ac:dyDescent="0.25">
      <c r="A133" t="str">
        <f>'Monthly Expense Worksheet'!A138</f>
        <v>Bad debt</v>
      </c>
      <c r="B133" t="s">
        <v>164</v>
      </c>
      <c r="C133" s="8">
        <f>'Monthly Expense Worksheet'!C140*'Prior year summary'!$F114</f>
        <v>24990</v>
      </c>
      <c r="D133" s="8">
        <f>'Monthly Expense Worksheet'!D140*'Prior year summary'!$F114</f>
        <v>24990</v>
      </c>
      <c r="E133" s="8">
        <f>'Monthly Expense Worksheet'!E140*'Prior year summary'!$F114</f>
        <v>24990</v>
      </c>
      <c r="F133" s="8">
        <f>'Monthly Expense Worksheet'!F140*'Prior year summary'!$F114</f>
        <v>24990</v>
      </c>
      <c r="G133" s="8">
        <f>'Monthly Expense Worksheet'!G140*'Prior year summary'!$F114</f>
        <v>24990</v>
      </c>
      <c r="H133" s="8">
        <f>'Monthly Expense Worksheet'!H140*'Prior year summary'!$F114</f>
        <v>24990</v>
      </c>
      <c r="I133" s="8">
        <f>'Monthly Expense Worksheet'!I140*'Prior year summary'!$F114</f>
        <v>24990</v>
      </c>
      <c r="J133" s="8">
        <f>'Monthly Expense Worksheet'!J140*'Prior year summary'!$F114</f>
        <v>24990</v>
      </c>
      <c r="K133" s="8">
        <f>'Monthly Expense Worksheet'!K140*'Prior year summary'!$F114</f>
        <v>24990</v>
      </c>
      <c r="L133" s="8">
        <f>'Monthly Expense Worksheet'!L140*'Prior year summary'!$F114</f>
        <v>24990</v>
      </c>
      <c r="M133" s="8">
        <f>'Monthly Expense Worksheet'!M140*'Prior year summary'!$F114</f>
        <v>24990</v>
      </c>
      <c r="N133" s="8">
        <f>'Monthly Expense Worksheet'!N140*'Prior year summary'!$F114</f>
        <v>25109.999999999967</v>
      </c>
      <c r="O133" s="8">
        <f>SUM(C133:N133)</f>
        <v>299999.99999999994</v>
      </c>
      <c r="P133" s="8">
        <f>'Prior year summary'!F114</f>
        <v>300000</v>
      </c>
    </row>
    <row r="134" spans="1:16" x14ac:dyDescent="0.25">
      <c r="B134" t="s">
        <v>165</v>
      </c>
      <c r="C134" s="8">
        <f>SUM($C133:C133)</f>
        <v>24990</v>
      </c>
      <c r="D134" s="8">
        <f>SUM($C133:D133)</f>
        <v>49980</v>
      </c>
      <c r="E134" s="8">
        <f>SUM($C133:E133)</f>
        <v>74970</v>
      </c>
      <c r="F134" s="8">
        <f>SUM($C133:F133)</f>
        <v>99960</v>
      </c>
      <c r="G134" s="8">
        <f>SUM($C133:G133)</f>
        <v>124950</v>
      </c>
      <c r="H134" s="8">
        <f>SUM($C133:H133)</f>
        <v>149940</v>
      </c>
      <c r="I134" s="8">
        <f>SUM($C133:I133)</f>
        <v>174930</v>
      </c>
      <c r="J134" s="8">
        <f>SUM($C133:J133)</f>
        <v>199920</v>
      </c>
      <c r="K134" s="8">
        <f>SUM($C133:K133)</f>
        <v>224910</v>
      </c>
      <c r="L134" s="8">
        <f>SUM($C133:L133)</f>
        <v>249900</v>
      </c>
      <c r="M134" s="8">
        <f>SUM($C133:M133)</f>
        <v>274890</v>
      </c>
      <c r="N134" s="8">
        <f>SUM($C133:N133)</f>
        <v>299999.99999999994</v>
      </c>
      <c r="O134" s="8"/>
    </row>
    <row r="135" spans="1:16" x14ac:dyDescent="0.25">
      <c r="B135" t="s">
        <v>188</v>
      </c>
      <c r="C135" s="44"/>
      <c r="D135" s="44"/>
      <c r="E135" s="44"/>
      <c r="F135" s="44"/>
      <c r="G135" s="44"/>
      <c r="H135" s="44"/>
      <c r="I135" s="44"/>
      <c r="J135" s="44"/>
      <c r="K135" s="44"/>
      <c r="L135" s="44"/>
      <c r="M135" s="44"/>
      <c r="N135" s="44"/>
    </row>
    <row r="136" spans="1:16" x14ac:dyDescent="0.25">
      <c r="A136" t="str">
        <f>'Monthly Expense Worksheet'!A141</f>
        <v>E29</v>
      </c>
      <c r="B136" t="s">
        <v>164</v>
      </c>
      <c r="C136" s="8">
        <f>'Monthly Expense Worksheet'!C143*'Prior year summary'!$F115</f>
        <v>8.3300000000000005E-5</v>
      </c>
      <c r="D136" s="8">
        <f>'Monthly Expense Worksheet'!D143*'Prior year summary'!$F115</f>
        <v>8.3300000000000005E-5</v>
      </c>
      <c r="E136" s="8">
        <f>'Monthly Expense Worksheet'!E143*'Prior year summary'!$F115</f>
        <v>8.3300000000000005E-5</v>
      </c>
      <c r="F136" s="8">
        <f>'Monthly Expense Worksheet'!F143*'Prior year summary'!$F115</f>
        <v>8.3300000000000005E-5</v>
      </c>
      <c r="G136" s="8">
        <f>'Monthly Expense Worksheet'!G143*'Prior year summary'!$F115</f>
        <v>8.3300000000000005E-5</v>
      </c>
      <c r="H136" s="8">
        <f>'Monthly Expense Worksheet'!H143*'Prior year summary'!$F115</f>
        <v>8.3300000000000005E-5</v>
      </c>
      <c r="I136" s="8">
        <f>'Monthly Expense Worksheet'!I143*'Prior year summary'!$F115</f>
        <v>8.3300000000000005E-5</v>
      </c>
      <c r="J136" s="8">
        <f>'Monthly Expense Worksheet'!J143*'Prior year summary'!$F115</f>
        <v>8.3300000000000005E-5</v>
      </c>
      <c r="K136" s="8">
        <f>'Monthly Expense Worksheet'!K143*'Prior year summary'!$F115</f>
        <v>8.3300000000000005E-5</v>
      </c>
      <c r="L136" s="8">
        <f>'Monthly Expense Worksheet'!L143*'Prior year summary'!$F115</f>
        <v>8.3300000000000005E-5</v>
      </c>
      <c r="M136" s="8">
        <f>'Monthly Expense Worksheet'!M143*'Prior year summary'!$F115</f>
        <v>8.3300000000000005E-5</v>
      </c>
      <c r="N136" s="8">
        <f>'Monthly Expense Worksheet'!N143*'Prior year summary'!$F115</f>
        <v>8.3699999999999893E-5</v>
      </c>
      <c r="O136" s="8">
        <f>SUM(C136:N136)</f>
        <v>1E-3</v>
      </c>
      <c r="P136" s="8">
        <f>'Prior year summary'!F115</f>
        <v>1E-3</v>
      </c>
    </row>
    <row r="137" spans="1:16" x14ac:dyDescent="0.25">
      <c r="B137" t="s">
        <v>165</v>
      </c>
      <c r="C137" s="8">
        <f>SUM($C136:C136)</f>
        <v>8.3300000000000005E-5</v>
      </c>
      <c r="D137" s="8">
        <f>SUM($C136:D136)</f>
        <v>1.6660000000000001E-4</v>
      </c>
      <c r="E137" s="8">
        <f>SUM($C136:E136)</f>
        <v>2.499E-4</v>
      </c>
      <c r="F137" s="8">
        <f>SUM($C136:F136)</f>
        <v>3.3320000000000002E-4</v>
      </c>
      <c r="G137" s="8">
        <f>SUM($C136:G136)</f>
        <v>4.1650000000000004E-4</v>
      </c>
      <c r="H137" s="8">
        <f>SUM($C136:H136)</f>
        <v>4.9980000000000001E-4</v>
      </c>
      <c r="I137" s="8">
        <f>SUM($C136:I136)</f>
        <v>5.8310000000000002E-4</v>
      </c>
      <c r="J137" s="8">
        <f>SUM($C136:J136)</f>
        <v>6.6640000000000004E-4</v>
      </c>
      <c r="K137" s="8">
        <f>SUM($C136:K136)</f>
        <v>7.4970000000000006E-4</v>
      </c>
      <c r="L137" s="8">
        <f>SUM($C136:L136)</f>
        <v>8.3300000000000008E-4</v>
      </c>
      <c r="M137" s="8">
        <f>SUM($C136:M136)</f>
        <v>9.163000000000001E-4</v>
      </c>
      <c r="N137" s="8">
        <f>SUM($C136:N136)</f>
        <v>1E-3</v>
      </c>
      <c r="O137" s="8"/>
    </row>
    <row r="138" spans="1:16" x14ac:dyDescent="0.25">
      <c r="B138" t="s">
        <v>188</v>
      </c>
      <c r="C138" s="44"/>
      <c r="D138" s="44"/>
      <c r="E138" s="44"/>
      <c r="F138" s="44"/>
      <c r="G138" s="44"/>
      <c r="H138" s="44"/>
      <c r="I138" s="44"/>
      <c r="J138" s="44"/>
      <c r="K138" s="44"/>
      <c r="L138" s="44"/>
      <c r="M138" s="44"/>
      <c r="N138" s="44"/>
    </row>
    <row r="139" spans="1:16" x14ac:dyDescent="0.25">
      <c r="A139" t="str">
        <f>'Monthly Expense Worksheet'!A144</f>
        <v>E30</v>
      </c>
      <c r="B139" t="s">
        <v>164</v>
      </c>
      <c r="C139" s="8">
        <f>'Monthly Expense Worksheet'!C146*'Prior year summary'!$F116</f>
        <v>8.3300000000000005E-5</v>
      </c>
      <c r="D139" s="8">
        <f>'Monthly Expense Worksheet'!D146*'Prior year summary'!$F116</f>
        <v>8.3300000000000005E-5</v>
      </c>
      <c r="E139" s="8">
        <f>'Monthly Expense Worksheet'!E146*'Prior year summary'!$F116</f>
        <v>8.3300000000000005E-5</v>
      </c>
      <c r="F139" s="8">
        <f>'Monthly Expense Worksheet'!F146*'Prior year summary'!$F116</f>
        <v>8.3300000000000005E-5</v>
      </c>
      <c r="G139" s="8">
        <f>'Monthly Expense Worksheet'!G146*'Prior year summary'!$F116</f>
        <v>8.3300000000000005E-5</v>
      </c>
      <c r="H139" s="8">
        <f>'Monthly Expense Worksheet'!H146*'Prior year summary'!$F116</f>
        <v>8.3300000000000005E-5</v>
      </c>
      <c r="I139" s="8">
        <f>'Monthly Expense Worksheet'!I146*'Prior year summary'!$F116</f>
        <v>8.3300000000000005E-5</v>
      </c>
      <c r="J139" s="8">
        <f>'Monthly Expense Worksheet'!J146*'Prior year summary'!$F116</f>
        <v>8.3300000000000005E-5</v>
      </c>
      <c r="K139" s="8">
        <f>'Monthly Expense Worksheet'!K146*'Prior year summary'!$F116</f>
        <v>8.3300000000000005E-5</v>
      </c>
      <c r="L139" s="8">
        <f>'Monthly Expense Worksheet'!L146*'Prior year summary'!$F116</f>
        <v>8.3300000000000005E-5</v>
      </c>
      <c r="M139" s="8">
        <f>'Monthly Expense Worksheet'!M146*'Prior year summary'!$F116</f>
        <v>8.3300000000000005E-5</v>
      </c>
      <c r="N139" s="8">
        <f>'Monthly Expense Worksheet'!N146*'Prior year summary'!$F116</f>
        <v>8.3699999999999893E-5</v>
      </c>
      <c r="O139" s="8">
        <f>SUM(C139:N139)</f>
        <v>1E-3</v>
      </c>
      <c r="P139" s="8">
        <f>'Prior year summary'!F116</f>
        <v>1E-3</v>
      </c>
    </row>
    <row r="140" spans="1:16" x14ac:dyDescent="0.25">
      <c r="B140" t="s">
        <v>165</v>
      </c>
      <c r="C140" s="8">
        <f>SUM($C139:C139)</f>
        <v>8.3300000000000005E-5</v>
      </c>
      <c r="D140" s="8">
        <f>SUM($C139:D139)</f>
        <v>1.6660000000000001E-4</v>
      </c>
      <c r="E140" s="8">
        <f>SUM($C139:E139)</f>
        <v>2.499E-4</v>
      </c>
      <c r="F140" s="8">
        <f>SUM($C139:F139)</f>
        <v>3.3320000000000002E-4</v>
      </c>
      <c r="G140" s="8">
        <f>SUM($C139:G139)</f>
        <v>4.1650000000000004E-4</v>
      </c>
      <c r="H140" s="8">
        <f>SUM($C139:H139)</f>
        <v>4.9980000000000001E-4</v>
      </c>
      <c r="I140" s="8">
        <f>SUM($C139:I139)</f>
        <v>5.8310000000000002E-4</v>
      </c>
      <c r="J140" s="8">
        <f>SUM($C139:J139)</f>
        <v>6.6640000000000004E-4</v>
      </c>
      <c r="K140" s="8">
        <f>SUM($C139:K139)</f>
        <v>7.4970000000000006E-4</v>
      </c>
      <c r="L140" s="8">
        <f>SUM($C139:L139)</f>
        <v>8.3300000000000008E-4</v>
      </c>
      <c r="M140" s="8">
        <f>SUM($C139:M139)</f>
        <v>9.163000000000001E-4</v>
      </c>
      <c r="N140" s="8">
        <f>SUM($C139:N139)</f>
        <v>1E-3</v>
      </c>
      <c r="O140" s="8"/>
    </row>
    <row r="141" spans="1:16" x14ac:dyDescent="0.25">
      <c r="B141" t="s">
        <v>188</v>
      </c>
      <c r="C141" s="44"/>
      <c r="D141" s="44"/>
      <c r="E141" s="44"/>
      <c r="F141" s="44"/>
      <c r="G141" s="44"/>
      <c r="H141" s="44"/>
      <c r="I141" s="44"/>
      <c r="J141" s="44"/>
      <c r="K141" s="44"/>
      <c r="L141" s="44"/>
      <c r="M141" s="44"/>
      <c r="N141" s="44"/>
    </row>
    <row r="142" spans="1:16" x14ac:dyDescent="0.25">
      <c r="A142" t="str">
        <f>'Monthly Expense Worksheet'!A147</f>
        <v>E31</v>
      </c>
      <c r="B142" t="s">
        <v>164</v>
      </c>
      <c r="C142" s="8">
        <f>'Monthly Expense Worksheet'!C149*'Prior year summary'!$F117</f>
        <v>8.3300000000000005E-5</v>
      </c>
      <c r="D142" s="8">
        <f>'Monthly Expense Worksheet'!D149*'Prior year summary'!$F117</f>
        <v>8.3300000000000005E-5</v>
      </c>
      <c r="E142" s="8">
        <f>'Monthly Expense Worksheet'!E149*'Prior year summary'!$F117</f>
        <v>8.3300000000000005E-5</v>
      </c>
      <c r="F142" s="8">
        <f>'Monthly Expense Worksheet'!F149*'Prior year summary'!$F117</f>
        <v>8.3300000000000005E-5</v>
      </c>
      <c r="G142" s="8">
        <f>'Monthly Expense Worksheet'!G149*'Prior year summary'!$F117</f>
        <v>8.3300000000000005E-5</v>
      </c>
      <c r="H142" s="8">
        <f>'Monthly Expense Worksheet'!H149*'Prior year summary'!$F117</f>
        <v>8.3300000000000005E-5</v>
      </c>
      <c r="I142" s="8">
        <f>'Monthly Expense Worksheet'!I149*'Prior year summary'!$F117</f>
        <v>8.3300000000000005E-5</v>
      </c>
      <c r="J142" s="8">
        <f>'Monthly Expense Worksheet'!J149*'Prior year summary'!$F117</f>
        <v>8.3300000000000005E-5</v>
      </c>
      <c r="K142" s="8">
        <f>'Monthly Expense Worksheet'!K149*'Prior year summary'!$F117</f>
        <v>8.3300000000000005E-5</v>
      </c>
      <c r="L142" s="8">
        <f>'Monthly Expense Worksheet'!L149*'Prior year summary'!$F117</f>
        <v>8.3300000000000005E-5</v>
      </c>
      <c r="M142" s="8">
        <f>'Monthly Expense Worksheet'!M149*'Prior year summary'!$F117</f>
        <v>8.3300000000000005E-5</v>
      </c>
      <c r="N142" s="8">
        <f>'Monthly Expense Worksheet'!N149*'Prior year summary'!$F117</f>
        <v>8.3699999999999893E-5</v>
      </c>
      <c r="O142" s="8">
        <f>SUM(C142:N142)</f>
        <v>1E-3</v>
      </c>
      <c r="P142" s="8">
        <f>'Prior year summary'!F117</f>
        <v>1E-3</v>
      </c>
    </row>
    <row r="143" spans="1:16" x14ac:dyDescent="0.25">
      <c r="B143" t="s">
        <v>165</v>
      </c>
      <c r="C143" s="8">
        <f>SUM($C142:C142)</f>
        <v>8.3300000000000005E-5</v>
      </c>
      <c r="D143" s="8">
        <f>SUM($C142:D142)</f>
        <v>1.6660000000000001E-4</v>
      </c>
      <c r="E143" s="8">
        <f>SUM($C142:E142)</f>
        <v>2.499E-4</v>
      </c>
      <c r="F143" s="8">
        <f>SUM($C142:F142)</f>
        <v>3.3320000000000002E-4</v>
      </c>
      <c r="G143" s="8">
        <f>SUM($C142:G142)</f>
        <v>4.1650000000000004E-4</v>
      </c>
      <c r="H143" s="8">
        <f>SUM($C142:H142)</f>
        <v>4.9980000000000001E-4</v>
      </c>
      <c r="I143" s="8">
        <f>SUM($C142:I142)</f>
        <v>5.8310000000000002E-4</v>
      </c>
      <c r="J143" s="8">
        <f>SUM($C142:J142)</f>
        <v>6.6640000000000004E-4</v>
      </c>
      <c r="K143" s="8">
        <f>SUM($C142:K142)</f>
        <v>7.4970000000000006E-4</v>
      </c>
      <c r="L143" s="8">
        <f>SUM($C142:L142)</f>
        <v>8.3300000000000008E-4</v>
      </c>
      <c r="M143" s="8">
        <f>SUM($C142:M142)</f>
        <v>9.163000000000001E-4</v>
      </c>
      <c r="N143" s="8">
        <f>SUM($C142:N142)</f>
        <v>1E-3</v>
      </c>
      <c r="O143" s="8"/>
    </row>
    <row r="144" spans="1:16" x14ac:dyDescent="0.25">
      <c r="B144" t="s">
        <v>188</v>
      </c>
      <c r="C144" s="44"/>
      <c r="D144" s="44"/>
      <c r="E144" s="44"/>
      <c r="F144" s="44"/>
      <c r="G144" s="44"/>
      <c r="H144" s="44"/>
      <c r="I144" s="44"/>
      <c r="J144" s="44"/>
      <c r="K144" s="44"/>
      <c r="L144" s="44"/>
      <c r="M144" s="44"/>
      <c r="N144" s="44"/>
    </row>
    <row r="145" spans="1:17" x14ac:dyDescent="0.25">
      <c r="A145" t="str">
        <f>'Monthly Expense Worksheet'!A150</f>
        <v>E32</v>
      </c>
      <c r="B145" t="s">
        <v>164</v>
      </c>
      <c r="C145" s="8">
        <f>'Monthly Expense Worksheet'!C152*'Prior year summary'!$F118</f>
        <v>8.3300000000000005E-5</v>
      </c>
      <c r="D145" s="8">
        <f>'Monthly Expense Worksheet'!D152*'Prior year summary'!$F118</f>
        <v>8.3300000000000005E-5</v>
      </c>
      <c r="E145" s="8">
        <f>'Monthly Expense Worksheet'!E152*'Prior year summary'!$F118</f>
        <v>8.3300000000000005E-5</v>
      </c>
      <c r="F145" s="8">
        <f>'Monthly Expense Worksheet'!F152*'Prior year summary'!$F118</f>
        <v>8.3300000000000005E-5</v>
      </c>
      <c r="G145" s="8">
        <f>'Monthly Expense Worksheet'!G152*'Prior year summary'!$F118</f>
        <v>8.3300000000000005E-5</v>
      </c>
      <c r="H145" s="8">
        <f>'Monthly Expense Worksheet'!H152*'Prior year summary'!$F118</f>
        <v>8.3300000000000005E-5</v>
      </c>
      <c r="I145" s="8">
        <f>'Monthly Expense Worksheet'!I152*'Prior year summary'!$F118</f>
        <v>8.3300000000000005E-5</v>
      </c>
      <c r="J145" s="8">
        <f>'Monthly Expense Worksheet'!J152*'Prior year summary'!$F118</f>
        <v>8.3300000000000005E-5</v>
      </c>
      <c r="K145" s="8">
        <f>'Monthly Expense Worksheet'!K152*'Prior year summary'!$F118</f>
        <v>8.3300000000000005E-5</v>
      </c>
      <c r="L145" s="8">
        <f>'Monthly Expense Worksheet'!L152*'Prior year summary'!$F118</f>
        <v>8.3300000000000005E-5</v>
      </c>
      <c r="M145" s="8">
        <f>'Monthly Expense Worksheet'!M152*'Prior year summary'!$F118</f>
        <v>8.3300000000000005E-5</v>
      </c>
      <c r="N145" s="8">
        <f>'Monthly Expense Worksheet'!N152*'Prior year summary'!$F118</f>
        <v>8.3699999999999893E-5</v>
      </c>
      <c r="O145" s="8">
        <f>SUM(C145:N145)</f>
        <v>1E-3</v>
      </c>
      <c r="P145" s="8">
        <f>'Prior year summary'!F118</f>
        <v>1E-3</v>
      </c>
    </row>
    <row r="146" spans="1:17" x14ac:dyDescent="0.25">
      <c r="B146" t="s">
        <v>165</v>
      </c>
      <c r="C146" s="8">
        <f>SUM($C145:C145)</f>
        <v>8.3300000000000005E-5</v>
      </c>
      <c r="D146" s="8">
        <f>SUM($C145:D145)</f>
        <v>1.6660000000000001E-4</v>
      </c>
      <c r="E146" s="8">
        <f>SUM($C145:E145)</f>
        <v>2.499E-4</v>
      </c>
      <c r="F146" s="8">
        <f>SUM($C145:F145)</f>
        <v>3.3320000000000002E-4</v>
      </c>
      <c r="G146" s="8">
        <f>SUM($C145:G145)</f>
        <v>4.1650000000000004E-4</v>
      </c>
      <c r="H146" s="8">
        <f>SUM($C145:H145)</f>
        <v>4.9980000000000001E-4</v>
      </c>
      <c r="I146" s="8">
        <f>SUM($C145:I145)</f>
        <v>5.8310000000000002E-4</v>
      </c>
      <c r="J146" s="8">
        <f>SUM($C145:J145)</f>
        <v>6.6640000000000004E-4</v>
      </c>
      <c r="K146" s="8">
        <f>SUM($C145:K145)</f>
        <v>7.4970000000000006E-4</v>
      </c>
      <c r="L146" s="8">
        <f>SUM($C145:L145)</f>
        <v>8.3300000000000008E-4</v>
      </c>
      <c r="M146" s="8">
        <f>SUM($C145:M145)</f>
        <v>9.163000000000001E-4</v>
      </c>
      <c r="N146" s="8">
        <f>SUM($C145:N145)</f>
        <v>1E-3</v>
      </c>
      <c r="O146" s="8"/>
    </row>
    <row r="147" spans="1:17" x14ac:dyDescent="0.25">
      <c r="B147" t="s">
        <v>188</v>
      </c>
      <c r="C147" s="44"/>
      <c r="D147" s="44"/>
      <c r="E147" s="44"/>
      <c r="F147" s="44"/>
      <c r="G147" s="44"/>
      <c r="H147" s="44"/>
      <c r="I147" s="44"/>
      <c r="J147" s="44"/>
      <c r="K147" s="44"/>
      <c r="L147" s="44"/>
      <c r="M147" s="44"/>
      <c r="N147" s="44"/>
    </row>
    <row r="148" spans="1:17" x14ac:dyDescent="0.25">
      <c r="A148" t="str">
        <f>'Monthly Expense Worksheet'!A153</f>
        <v>E33</v>
      </c>
      <c r="B148" t="s">
        <v>164</v>
      </c>
      <c r="C148" s="8">
        <f>'Monthly Expense Worksheet'!C155*'Prior year summary'!$F119</f>
        <v>8.3300000000000005E-5</v>
      </c>
      <c r="D148" s="8">
        <f>'Monthly Expense Worksheet'!D155*'Prior year summary'!$F119</f>
        <v>8.3300000000000005E-5</v>
      </c>
      <c r="E148" s="8">
        <f>'Monthly Expense Worksheet'!E155*'Prior year summary'!$F119</f>
        <v>8.3300000000000005E-5</v>
      </c>
      <c r="F148" s="8">
        <f>'Monthly Expense Worksheet'!F155*'Prior year summary'!$F119</f>
        <v>8.3300000000000005E-5</v>
      </c>
      <c r="G148" s="8">
        <f>'Monthly Expense Worksheet'!G155*'Prior year summary'!$F119</f>
        <v>8.3300000000000005E-5</v>
      </c>
      <c r="H148" s="8">
        <f>'Monthly Expense Worksheet'!H155*'Prior year summary'!$F119</f>
        <v>8.3300000000000005E-5</v>
      </c>
      <c r="I148" s="8">
        <f>'Monthly Expense Worksheet'!I155*'Prior year summary'!$F119</f>
        <v>8.3300000000000005E-5</v>
      </c>
      <c r="J148" s="8">
        <f>'Monthly Expense Worksheet'!J155*'Prior year summary'!$F119</f>
        <v>8.3300000000000005E-5</v>
      </c>
      <c r="K148" s="8">
        <f>'Monthly Expense Worksheet'!K155*'Prior year summary'!$F119</f>
        <v>8.3300000000000005E-5</v>
      </c>
      <c r="L148" s="8">
        <f>'Monthly Expense Worksheet'!L155*'Prior year summary'!$F119</f>
        <v>8.3300000000000005E-5</v>
      </c>
      <c r="M148" s="8">
        <f>'Monthly Expense Worksheet'!M155*'Prior year summary'!$F119</f>
        <v>8.3300000000000005E-5</v>
      </c>
      <c r="N148" s="8">
        <f>'Monthly Expense Worksheet'!N155*'Prior year summary'!$F119</f>
        <v>8.3699999999999893E-5</v>
      </c>
      <c r="O148" s="8">
        <f>SUM(C148:N148)</f>
        <v>1E-3</v>
      </c>
      <c r="P148" s="8">
        <f>'Prior year summary'!F119</f>
        <v>1E-3</v>
      </c>
    </row>
    <row r="149" spans="1:17" x14ac:dyDescent="0.25">
      <c r="B149" t="s">
        <v>165</v>
      </c>
      <c r="C149" s="8">
        <f>SUM($C148:C148)</f>
        <v>8.3300000000000005E-5</v>
      </c>
      <c r="D149" s="8">
        <f>SUM($C148:D148)</f>
        <v>1.6660000000000001E-4</v>
      </c>
      <c r="E149" s="8">
        <f>SUM($C148:E148)</f>
        <v>2.499E-4</v>
      </c>
      <c r="F149" s="8">
        <f>SUM($C148:F148)</f>
        <v>3.3320000000000002E-4</v>
      </c>
      <c r="G149" s="8">
        <f>SUM($C148:G148)</f>
        <v>4.1650000000000004E-4</v>
      </c>
      <c r="H149" s="8">
        <f>SUM($C148:H148)</f>
        <v>4.9980000000000001E-4</v>
      </c>
      <c r="I149" s="8">
        <f>SUM($C148:I148)</f>
        <v>5.8310000000000002E-4</v>
      </c>
      <c r="J149" s="8">
        <f>SUM($C148:J148)</f>
        <v>6.6640000000000004E-4</v>
      </c>
      <c r="K149" s="8">
        <f>SUM($C148:K148)</f>
        <v>7.4970000000000006E-4</v>
      </c>
      <c r="L149" s="8">
        <f>SUM($C148:L148)</f>
        <v>8.3300000000000008E-4</v>
      </c>
      <c r="M149" s="8">
        <f>SUM($C148:M148)</f>
        <v>9.163000000000001E-4</v>
      </c>
      <c r="N149" s="8">
        <f>SUM($C148:N148)</f>
        <v>1E-3</v>
      </c>
      <c r="O149" s="8"/>
      <c r="P149" s="8">
        <f>'Prior year summary'!F120</f>
        <v>2731493.006000001</v>
      </c>
    </row>
    <row r="150" spans="1:17" x14ac:dyDescent="0.25">
      <c r="B150" t="s">
        <v>188</v>
      </c>
      <c r="C150" s="44"/>
      <c r="D150" s="44"/>
      <c r="E150" s="44"/>
      <c r="F150" s="44"/>
      <c r="G150" s="44"/>
      <c r="H150" s="44"/>
      <c r="I150" s="44"/>
      <c r="J150" s="44"/>
      <c r="K150" s="44"/>
      <c r="L150" s="44"/>
      <c r="M150" s="44"/>
      <c r="N150" s="44"/>
      <c r="O150" s="44"/>
    </row>
    <row r="151" spans="1:17" x14ac:dyDescent="0.25">
      <c r="C151" s="8"/>
      <c r="D151" s="8"/>
      <c r="E151" s="8"/>
      <c r="F151" s="8"/>
      <c r="G151" s="8"/>
      <c r="H151" s="8"/>
      <c r="I151" s="8"/>
      <c r="J151" s="8"/>
      <c r="K151" s="8"/>
      <c r="L151" s="8"/>
      <c r="M151" s="8"/>
      <c r="N151" s="8"/>
      <c r="O151" s="8"/>
    </row>
    <row r="152" spans="1:17" x14ac:dyDescent="0.25">
      <c r="C152" s="8"/>
      <c r="D152" s="8"/>
      <c r="E152" s="8"/>
      <c r="F152" s="8"/>
      <c r="G152" s="8"/>
      <c r="H152" s="8"/>
      <c r="I152" s="8"/>
      <c r="J152" s="8"/>
      <c r="K152" s="8"/>
      <c r="L152" s="8"/>
      <c r="M152" s="8"/>
      <c r="N152" s="8"/>
      <c r="O152" s="8"/>
    </row>
    <row r="156" spans="1:17" x14ac:dyDescent="0.25">
      <c r="O156" s="8"/>
      <c r="Q156" s="8"/>
    </row>
    <row r="157" spans="1:17" x14ac:dyDescent="0.25">
      <c r="A157" t="s">
        <v>189</v>
      </c>
      <c r="B157" t="s">
        <v>164</v>
      </c>
      <c r="C157" s="8">
        <f>C25+C31+C34+C37+C40+C43+C49+C52+C55+C58+C61+C64+C67+C70+C73+C76+C79+C82+C85+C88+C91+C94+C97+C100+C103+C106+C109+C112+C115+C118+C121+C124+C127+C130+C133+C136+C139+C142+C145+C148</f>
        <v>501508.53347979992</v>
      </c>
      <c r="D157" s="8">
        <f t="shared" ref="D157:N157" si="3">D25+D31+D34+D37+D40+D43+D49+D52+D55+D58+D61+D64+D67+D70+D73+D76+D79+D82+D85+D88+D91+D94+D97+D100+D103+D106+D109+D112+D115+D118+D121+D124+D127+D130+D133+D136+D139+D142+D145+D148</f>
        <v>501508.53347979992</v>
      </c>
      <c r="E157" s="8">
        <f t="shared" si="3"/>
        <v>501508.53347979992</v>
      </c>
      <c r="F157" s="8">
        <f t="shared" si="3"/>
        <v>501508.53347979992</v>
      </c>
      <c r="G157" s="8">
        <f t="shared" si="3"/>
        <v>501508.53347979992</v>
      </c>
      <c r="H157" s="8">
        <f t="shared" si="3"/>
        <v>501508.53347979992</v>
      </c>
      <c r="I157" s="8">
        <f t="shared" si="3"/>
        <v>501508.53347979992</v>
      </c>
      <c r="J157" s="8">
        <f t="shared" si="3"/>
        <v>501508.53347979992</v>
      </c>
      <c r="K157" s="8">
        <f t="shared" si="3"/>
        <v>501508.53347979992</v>
      </c>
      <c r="L157" s="8">
        <f t="shared" si="3"/>
        <v>501508.53347979992</v>
      </c>
      <c r="M157" s="8">
        <f t="shared" si="3"/>
        <v>501508.53347979992</v>
      </c>
      <c r="N157" s="8">
        <f t="shared" si="3"/>
        <v>503916.73772219941</v>
      </c>
      <c r="O157" s="8">
        <f>O25+O46+O49+O52+O55+O58+O61+O64+O67+O70+O73+O76+O79+O82+O85+O88+O91+O94+O97+O100+O103+O106+O109+O112+O115+O118+O121+O124+O127+O130+O133+O136+O139+O142+O145+O148</f>
        <v>6020510.6059999997</v>
      </c>
      <c r="Q157" s="8">
        <f>P156-O157</f>
        <v>-6020510.6059999997</v>
      </c>
    </row>
    <row r="158" spans="1:17" x14ac:dyDescent="0.25">
      <c r="B158" t="s">
        <v>165</v>
      </c>
      <c r="C158" s="8">
        <f>C26+C32+C35+C38+C41+C44+C50+C53+C56+C59+C62+C65+C68+C71+C74+C77+C80+C83+C86+C89+C92+C95+C98+C101+C104+C107+C110+C113+C116+C119+C122+C125+C128+C131+C134+C137+C140+C143+C146+C149</f>
        <v>501508.53347979992</v>
      </c>
      <c r="D158" s="8">
        <f t="shared" ref="D158:N158" si="4">D26+D32+D35+D38+D41+D44+D50+D53+D56+D59+D62+D65+D68+D71+D74+D77+D80+D83+D86+D89+D92+D95+D98+D101+D104+D107+D110+D113+D116+D119+D122+D125+D128+D131+D134+D137+D140+D143+D146+D149</f>
        <v>1003017.0669595998</v>
      </c>
      <c r="E158" s="8">
        <f t="shared" si="4"/>
        <v>1504525.6004394002</v>
      </c>
      <c r="F158" s="8">
        <f t="shared" si="4"/>
        <v>2006034.1339191997</v>
      </c>
      <c r="G158" s="8">
        <f t="shared" si="4"/>
        <v>2507542.6673989999</v>
      </c>
      <c r="H158" s="8">
        <f t="shared" si="4"/>
        <v>3009051.2008787999</v>
      </c>
      <c r="I158" s="8">
        <f t="shared" si="4"/>
        <v>3510559.7343586003</v>
      </c>
      <c r="J158" s="8">
        <f t="shared" si="4"/>
        <v>4012068.2678383994</v>
      </c>
      <c r="K158" s="8">
        <f t="shared" si="4"/>
        <v>4513576.8013181984</v>
      </c>
      <c r="L158" s="8">
        <f t="shared" si="4"/>
        <v>5015085.3347979998</v>
      </c>
      <c r="M158" s="8">
        <f t="shared" si="4"/>
        <v>5516593.8682778021</v>
      </c>
      <c r="N158" s="8">
        <f t="shared" si="4"/>
        <v>6020510.6059999997</v>
      </c>
      <c r="O158" s="8"/>
    </row>
    <row r="159" spans="1:17" x14ac:dyDescent="0.25">
      <c r="B159" t="s">
        <v>188</v>
      </c>
      <c r="C159" s="8">
        <f>C27+C33+C36+C39+C42+C45+C48+C51+C54+C57+C60+C63+C66+C69+C72+C75+C78+C81+C84+C87+C90+C93+C96+C99+C102+C105+C108+C111+C114+C117+C120+C123+C126+C129+C132+C135+C138+C141+C144+C147+C150</f>
        <v>0</v>
      </c>
      <c r="D159" s="8">
        <f t="shared" ref="D159:N159" si="5">D27+D33+D36+D39+D42+D45+D48+D51+D54+D57+D60+D63+D66+D69+D72+D75+D78+D81+D84+D87+D90+D93+D96+D99+D102+D105+D108+D111+D114+D117+D120+D123+D126+D129+D132+D135+D138+D141+D144+D147+D150</f>
        <v>0</v>
      </c>
      <c r="E159" s="8">
        <f t="shared" si="5"/>
        <v>0</v>
      </c>
      <c r="F159" s="8">
        <f t="shared" si="5"/>
        <v>0</v>
      </c>
      <c r="G159" s="8">
        <f t="shared" si="5"/>
        <v>0</v>
      </c>
      <c r="H159" s="8">
        <f t="shared" si="5"/>
        <v>0</v>
      </c>
      <c r="I159" s="8">
        <f t="shared" si="5"/>
        <v>0</v>
      </c>
      <c r="J159" s="8">
        <f t="shared" si="5"/>
        <v>0</v>
      </c>
      <c r="K159" s="8">
        <f t="shared" si="5"/>
        <v>0</v>
      </c>
      <c r="L159" s="8">
        <f t="shared" si="5"/>
        <v>0</v>
      </c>
      <c r="M159" s="8">
        <f t="shared" si="5"/>
        <v>0</v>
      </c>
      <c r="N159" s="8">
        <f t="shared" si="5"/>
        <v>0</v>
      </c>
      <c r="O159" s="8"/>
    </row>
  </sheetData>
  <phoneticPr fontId="2"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topLeftCell="A13" workbookViewId="0">
      <selection activeCell="B23" sqref="B23"/>
    </sheetView>
  </sheetViews>
  <sheetFormatPr defaultRowHeight="15" x14ac:dyDescent="0.25"/>
  <cols>
    <col min="1" max="1" width="13.140625" customWidth="1"/>
    <col min="2" max="14" width="11.7109375" customWidth="1"/>
    <col min="15" max="15" width="10.140625" bestFit="1" customWidth="1"/>
  </cols>
  <sheetData>
    <row r="1" spans="1:16" x14ac:dyDescent="0.25">
      <c r="A1" t="str">
        <f>'5 year history'!A8</f>
        <v>Anytown Cooperative</v>
      </c>
      <c r="E1" s="77">
        <f>'5 year history'!F8</f>
        <v>41038</v>
      </c>
    </row>
    <row r="2" spans="1:16" x14ac:dyDescent="0.25">
      <c r="A2" t="s">
        <v>191</v>
      </c>
    </row>
    <row r="3" spans="1:16" x14ac:dyDescent="0.25">
      <c r="B3" t="str">
        <f>'Monthly Sales Worksheet'!C8</f>
        <v>JAN</v>
      </c>
      <c r="C3" t="str">
        <f>'Monthly Sales Worksheet'!D8</f>
        <v>FEB</v>
      </c>
      <c r="D3" t="str">
        <f>'Monthly Sales Worksheet'!E8</f>
        <v>MAR</v>
      </c>
      <c r="E3" t="str">
        <f>'Monthly Sales Worksheet'!F8</f>
        <v>APRIL</v>
      </c>
      <c r="F3" t="str">
        <f>'Monthly Sales Worksheet'!G8</f>
        <v>MAY</v>
      </c>
      <c r="G3" t="str">
        <f>'Monthly Sales Worksheet'!H8</f>
        <v>JUN</v>
      </c>
      <c r="H3" t="str">
        <f>'Monthly Sales Worksheet'!I8</f>
        <v>JUL</v>
      </c>
      <c r="I3" t="str">
        <f>'Monthly Sales Worksheet'!J8</f>
        <v>AUG</v>
      </c>
      <c r="J3" t="str">
        <f>'Monthly Sales Worksheet'!K8</f>
        <v>SEPT</v>
      </c>
      <c r="K3" t="str">
        <f>'Monthly Sales Worksheet'!L8</f>
        <v>OCT</v>
      </c>
      <c r="L3" t="str">
        <f>'Monthly Sales Worksheet'!M8</f>
        <v>NOV</v>
      </c>
      <c r="M3" t="str">
        <f>'Monthly Sales Worksheet'!N8</f>
        <v>DEC</v>
      </c>
      <c r="N3" t="str">
        <f>'Monthly Sales Worksheet'!O8</f>
        <v>TOTAL</v>
      </c>
      <c r="O3" t="s">
        <v>418</v>
      </c>
    </row>
    <row r="4" spans="1:16" x14ac:dyDescent="0.25">
      <c r="A4" s="17" t="s">
        <v>1</v>
      </c>
      <c r="B4" s="8">
        <f>'Sales Budget'!C72</f>
        <v>2253967.3842253969</v>
      </c>
      <c r="C4" s="8">
        <f>'Sales Budget'!D72</f>
        <v>2001431.464225397</v>
      </c>
      <c r="D4" s="8">
        <f>'Sales Budget'!E72</f>
        <v>2001431.464225397</v>
      </c>
      <c r="E4" s="8">
        <f>'Sales Budget'!F72</f>
        <v>2001431.464225397</v>
      </c>
      <c r="F4" s="8">
        <f>'Sales Budget'!G72</f>
        <v>2001431.464225397</v>
      </c>
      <c r="G4" s="8">
        <f>'Sales Budget'!H72</f>
        <v>2253967.3842253969</v>
      </c>
      <c r="H4" s="8">
        <f>'Sales Budget'!I72</f>
        <v>2253967.3842253969</v>
      </c>
      <c r="I4" s="8">
        <f>'Sales Budget'!J72</f>
        <v>2253967.3842253969</v>
      </c>
      <c r="J4" s="8">
        <f>'Sales Budget'!K72</f>
        <v>2487077.464225397</v>
      </c>
      <c r="K4" s="8">
        <f>'Sales Budget'!L72</f>
        <v>2234541.5442253966</v>
      </c>
      <c r="L4" s="8">
        <f>'Sales Budget'!M72</f>
        <v>2215115.7042253967</v>
      </c>
      <c r="M4" s="8">
        <f>'Sales Budget'!N72</f>
        <v>2009136.6554253944</v>
      </c>
      <c r="N4" s="8">
        <f>'Sales Budget'!O72</f>
        <v>25967466.761904761</v>
      </c>
      <c r="O4" s="8">
        <f t="shared" ref="O4:O10" si="0">SUM(B4:M4)</f>
        <v>25967466.761904765</v>
      </c>
    </row>
    <row r="5" spans="1:16" x14ac:dyDescent="0.25">
      <c r="A5" s="17" t="s">
        <v>39</v>
      </c>
      <c r="B5" s="8">
        <f>'Sales Budget'!C144</f>
        <v>221100.30979999999</v>
      </c>
      <c r="C5" s="8">
        <f>'Sales Budget'!D144</f>
        <v>168775.30979999999</v>
      </c>
      <c r="D5" s="8">
        <f>'Sales Budget'!E144</f>
        <v>168775.30979999999</v>
      </c>
      <c r="E5" s="8">
        <f>'Sales Budget'!F144</f>
        <v>168775.30979999999</v>
      </c>
      <c r="F5" s="8">
        <f>'Sales Budget'!G144</f>
        <v>168775.30979999999</v>
      </c>
      <c r="G5" s="8">
        <f>'Sales Budget'!H144</f>
        <v>221100.30979999999</v>
      </c>
      <c r="H5" s="8">
        <f>'Sales Budget'!I144</f>
        <v>221100.30979999999</v>
      </c>
      <c r="I5" s="8">
        <f>'Sales Budget'!J144</f>
        <v>221100.30979999999</v>
      </c>
      <c r="J5" s="8">
        <f>'Sales Budget'!K144</f>
        <v>269400.30979999999</v>
      </c>
      <c r="K5" s="8">
        <f>'Sales Budget'!L144</f>
        <v>217075.30979999999</v>
      </c>
      <c r="L5" s="8">
        <f>'Sales Budget'!M144</f>
        <v>213050.30979999999</v>
      </c>
      <c r="M5" s="8">
        <f>'Sales Budget'!N144</f>
        <v>169177.59219999984</v>
      </c>
      <c r="N5" s="8">
        <f>'Sales Budget'!O144</f>
        <v>2428206</v>
      </c>
      <c r="O5" s="8">
        <f t="shared" si="0"/>
        <v>2428205.9999999995</v>
      </c>
    </row>
    <row r="6" spans="1:16" x14ac:dyDescent="0.25">
      <c r="A6" s="17" t="s">
        <v>59</v>
      </c>
      <c r="B6" s="8">
        <f>'Income Budget'!C83</f>
        <v>331600.05690000003</v>
      </c>
      <c r="C6" s="8">
        <f>'Income Budget'!D83</f>
        <v>331600.05690000003</v>
      </c>
      <c r="D6" s="8">
        <f>'Income Budget'!E83</f>
        <v>331600.05690000003</v>
      </c>
      <c r="E6" s="8">
        <f>'Income Budget'!F83</f>
        <v>331600.05690000003</v>
      </c>
      <c r="F6" s="8">
        <f>'Income Budget'!G83</f>
        <v>331600.05690000003</v>
      </c>
      <c r="G6" s="8">
        <f>'Income Budget'!H83</f>
        <v>331600.05690000003</v>
      </c>
      <c r="H6" s="8">
        <f>'Income Budget'!I83</f>
        <v>331600.05690000003</v>
      </c>
      <c r="I6" s="8">
        <f>'Income Budget'!J83</f>
        <v>331600.05690000003</v>
      </c>
      <c r="J6" s="8">
        <f>'Income Budget'!K83</f>
        <v>331600.05690000003</v>
      </c>
      <c r="K6" s="8">
        <f>'Income Budget'!L83</f>
        <v>331600.05690000003</v>
      </c>
      <c r="L6" s="8">
        <f>'Income Budget'!M83</f>
        <v>331600.05690000003</v>
      </c>
      <c r="M6" s="8">
        <f>'Income Budget'!N83</f>
        <v>333192.37409999949</v>
      </c>
      <c r="N6" s="8">
        <f>'Income Budget'!O83</f>
        <v>3980792.9999999995</v>
      </c>
      <c r="O6" s="8">
        <f t="shared" si="0"/>
        <v>3980793.0000000005</v>
      </c>
    </row>
    <row r="7" spans="1:16" x14ac:dyDescent="0.25">
      <c r="A7" s="17" t="s">
        <v>178</v>
      </c>
      <c r="B7" s="8">
        <f>SUM(B5:B6)</f>
        <v>552700.36670000001</v>
      </c>
      <c r="C7" s="8">
        <f t="shared" ref="C7:N7" si="1">SUM(C5:C6)</f>
        <v>500375.36670000001</v>
      </c>
      <c r="D7" s="8">
        <f t="shared" si="1"/>
        <v>500375.36670000001</v>
      </c>
      <c r="E7" s="8">
        <f t="shared" si="1"/>
        <v>500375.36670000001</v>
      </c>
      <c r="F7" s="8">
        <f t="shared" si="1"/>
        <v>500375.36670000001</v>
      </c>
      <c r="G7" s="8">
        <f t="shared" si="1"/>
        <v>552700.36670000001</v>
      </c>
      <c r="H7" s="8">
        <f t="shared" si="1"/>
        <v>552700.36670000001</v>
      </c>
      <c r="I7" s="8">
        <f t="shared" si="1"/>
        <v>552700.36670000001</v>
      </c>
      <c r="J7" s="8">
        <f t="shared" si="1"/>
        <v>601000.36670000001</v>
      </c>
      <c r="K7" s="8">
        <f t="shared" si="1"/>
        <v>548675.36670000001</v>
      </c>
      <c r="L7" s="8">
        <f t="shared" si="1"/>
        <v>544650.36670000001</v>
      </c>
      <c r="M7" s="8">
        <f t="shared" si="1"/>
        <v>502369.96629999933</v>
      </c>
      <c r="N7" s="8">
        <f t="shared" si="1"/>
        <v>6408999</v>
      </c>
      <c r="O7" s="8">
        <f t="shared" si="0"/>
        <v>6408999</v>
      </c>
      <c r="P7" s="8"/>
    </row>
    <row r="8" spans="1:16" x14ac:dyDescent="0.25">
      <c r="A8" s="17" t="s">
        <v>180</v>
      </c>
      <c r="B8" s="8">
        <f>'Expense budget'!C157</f>
        <v>501508.53347979992</v>
      </c>
      <c r="C8" s="8">
        <f>'Expense budget'!D157</f>
        <v>501508.53347979992</v>
      </c>
      <c r="D8" s="8">
        <f>'Expense budget'!E157</f>
        <v>501508.53347979992</v>
      </c>
      <c r="E8" s="8">
        <f>'Expense budget'!F157</f>
        <v>501508.53347979992</v>
      </c>
      <c r="F8" s="8">
        <f>'Expense budget'!G157</f>
        <v>501508.53347979992</v>
      </c>
      <c r="G8" s="8">
        <f>'Expense budget'!H157</f>
        <v>501508.53347979992</v>
      </c>
      <c r="H8" s="8">
        <f>'Expense budget'!I157</f>
        <v>501508.53347979992</v>
      </c>
      <c r="I8" s="8">
        <f>'Expense budget'!J157</f>
        <v>501508.53347979992</v>
      </c>
      <c r="J8" s="8">
        <f>'Expense budget'!K157</f>
        <v>501508.53347979992</v>
      </c>
      <c r="K8" s="8">
        <f>'Expense budget'!L157</f>
        <v>501508.53347979992</v>
      </c>
      <c r="L8" s="8">
        <f>'Expense budget'!M157</f>
        <v>501508.53347979992</v>
      </c>
      <c r="M8" s="8">
        <f>'Expense budget'!N157</f>
        <v>503916.73772219941</v>
      </c>
      <c r="N8" s="8">
        <f>'Expense budget'!O157</f>
        <v>6020510.6059999997</v>
      </c>
      <c r="O8" s="8">
        <f t="shared" si="0"/>
        <v>6020510.6059999978</v>
      </c>
    </row>
    <row r="9" spans="1:16" x14ac:dyDescent="0.25">
      <c r="A9" s="17" t="s">
        <v>8</v>
      </c>
      <c r="B9" s="8">
        <f>B7-B8</f>
        <v>51191.833220200089</v>
      </c>
      <c r="C9" s="8">
        <f t="shared" ref="C9:N9" si="2">C7-C8</f>
        <v>-1133.1667797999107</v>
      </c>
      <c r="D9" s="8">
        <f t="shared" si="2"/>
        <v>-1133.1667797999107</v>
      </c>
      <c r="E9" s="8">
        <f t="shared" si="2"/>
        <v>-1133.1667797999107</v>
      </c>
      <c r="F9" s="8">
        <f t="shared" si="2"/>
        <v>-1133.1667797999107</v>
      </c>
      <c r="G9" s="8">
        <f t="shared" si="2"/>
        <v>51191.833220200089</v>
      </c>
      <c r="H9" s="8">
        <f t="shared" si="2"/>
        <v>51191.833220200089</v>
      </c>
      <c r="I9" s="8">
        <f t="shared" si="2"/>
        <v>51191.833220200089</v>
      </c>
      <c r="J9" s="8">
        <f t="shared" si="2"/>
        <v>99491.833220200089</v>
      </c>
      <c r="K9" s="8">
        <f t="shared" si="2"/>
        <v>47166.833220200089</v>
      </c>
      <c r="L9" s="8">
        <f t="shared" si="2"/>
        <v>43141.833220200089</v>
      </c>
      <c r="M9" s="8">
        <f t="shared" si="2"/>
        <v>-1546.7714222000795</v>
      </c>
      <c r="N9" s="8">
        <f t="shared" si="2"/>
        <v>388488.39400000032</v>
      </c>
      <c r="O9" s="8">
        <f t="shared" si="0"/>
        <v>388488.3940000009</v>
      </c>
    </row>
    <row r="10" spans="1:16" x14ac:dyDescent="0.25">
      <c r="A10" s="15" t="s">
        <v>9</v>
      </c>
      <c r="B10" s="8">
        <f>B9+'Income Budget'!C87</f>
        <v>151191.83322020009</v>
      </c>
      <c r="C10" s="8">
        <f>C9+'Income Budget'!D87</f>
        <v>-1133.1667797999107</v>
      </c>
      <c r="D10" s="8">
        <f>D9+'Income Budget'!E87</f>
        <v>-1133.1667797999107</v>
      </c>
      <c r="E10" s="8">
        <f>E9+'Income Budget'!F87</f>
        <v>-1133.1667797999107</v>
      </c>
      <c r="F10" s="8">
        <f>F9+'Income Budget'!G87</f>
        <v>-1133.1667797999107</v>
      </c>
      <c r="G10" s="8">
        <f>G9+'Income Budget'!H87</f>
        <v>51191.833220200089</v>
      </c>
      <c r="H10" s="8">
        <f>H9+'Income Budget'!I87</f>
        <v>51191.833220200089</v>
      </c>
      <c r="I10" s="8">
        <f>I9+'Income Budget'!J87</f>
        <v>51191.833220200089</v>
      </c>
      <c r="J10" s="8">
        <f>J9+'Income Budget'!K87</f>
        <v>99491.833220200089</v>
      </c>
      <c r="K10" s="8">
        <f>K9+'Income Budget'!L87</f>
        <v>47166.833220200089</v>
      </c>
      <c r="L10" s="8">
        <f>L9+'Income Budget'!M87</f>
        <v>43141.833220200089</v>
      </c>
      <c r="M10" s="8">
        <f>M9+'Income Budget'!N87</f>
        <v>-1546.7714222000795</v>
      </c>
      <c r="N10" s="78">
        <f>'Prior year summary'!F127</f>
        <v>488488.39399999939</v>
      </c>
      <c r="O10" s="8">
        <f t="shared" si="0"/>
        <v>488488.3940000009</v>
      </c>
    </row>
    <row r="12" spans="1:16" x14ac:dyDescent="0.25">
      <c r="A12" s="18" t="s">
        <v>192</v>
      </c>
    </row>
    <row r="13" spans="1:16" x14ac:dyDescent="0.25">
      <c r="B13" t="str">
        <f>B3</f>
        <v>JAN</v>
      </c>
      <c r="C13" t="str">
        <f t="shared" ref="C13:M13" si="3">C3</f>
        <v>FEB</v>
      </c>
      <c r="D13" t="str">
        <f t="shared" si="3"/>
        <v>MAR</v>
      </c>
      <c r="E13" t="str">
        <f t="shared" si="3"/>
        <v>APRIL</v>
      </c>
      <c r="F13" t="str">
        <f t="shared" si="3"/>
        <v>MAY</v>
      </c>
      <c r="G13" t="str">
        <f t="shared" si="3"/>
        <v>JUN</v>
      </c>
      <c r="H13" t="str">
        <f t="shared" si="3"/>
        <v>JUL</v>
      </c>
      <c r="I13" t="str">
        <f t="shared" si="3"/>
        <v>AUG</v>
      </c>
      <c r="J13" t="str">
        <f t="shared" si="3"/>
        <v>SEPT</v>
      </c>
      <c r="K13" t="str">
        <f t="shared" si="3"/>
        <v>OCT</v>
      </c>
      <c r="L13" t="str">
        <f t="shared" si="3"/>
        <v>NOV</v>
      </c>
      <c r="M13" t="str">
        <f t="shared" si="3"/>
        <v>DEC</v>
      </c>
    </row>
    <row r="14" spans="1:16" x14ac:dyDescent="0.25">
      <c r="A14" s="16" t="str">
        <f t="shared" ref="A14:A19" si="4">A4</f>
        <v>SALES</v>
      </c>
      <c r="B14" s="8">
        <f>'Sales Budget'!C73</f>
        <v>2253967.3842253969</v>
      </c>
      <c r="C14" s="8">
        <f>'Sales Budget'!D73</f>
        <v>4255398.8484507939</v>
      </c>
      <c r="D14" s="8">
        <f>'Sales Budget'!E73</f>
        <v>6256830.3126761895</v>
      </c>
      <c r="E14" s="8">
        <f>'Sales Budget'!F73</f>
        <v>8258261.7769015878</v>
      </c>
      <c r="F14" s="8">
        <f>'Sales Budget'!G73</f>
        <v>10259693.241126984</v>
      </c>
      <c r="G14" s="8">
        <f>'Sales Budget'!H73</f>
        <v>12513660.625352383</v>
      </c>
      <c r="H14" s="8">
        <f>'Sales Budget'!I73</f>
        <v>14767628.009577779</v>
      </c>
      <c r="I14" s="8">
        <f>'Sales Budget'!J73</f>
        <v>17021595.393803176</v>
      </c>
      <c r="J14" s="8">
        <f>'Sales Budget'!K73</f>
        <v>19508672.858028572</v>
      </c>
      <c r="K14" s="8">
        <f>'Sales Budget'!L73</f>
        <v>21743214.402253971</v>
      </c>
      <c r="L14" s="8">
        <f>'Sales Budget'!M73</f>
        <v>23958330.106479369</v>
      </c>
      <c r="M14" s="8">
        <f>'Sales Budget'!N73</f>
        <v>25967466.761904761</v>
      </c>
      <c r="N14" s="8"/>
    </row>
    <row r="15" spans="1:16" x14ac:dyDescent="0.25">
      <c r="A15" s="16" t="str">
        <f t="shared" si="4"/>
        <v>MARGINS</v>
      </c>
      <c r="B15" s="8">
        <f>'Sales Budget'!C145</f>
        <v>221100.30979999999</v>
      </c>
      <c r="C15" s="8">
        <f>'Sales Budget'!D145</f>
        <v>389875.61959999998</v>
      </c>
      <c r="D15" s="8">
        <f>'Sales Budget'!E145</f>
        <v>558650.92940000002</v>
      </c>
      <c r="E15" s="8">
        <f>'Sales Budget'!F145</f>
        <v>727426.23919999995</v>
      </c>
      <c r="F15" s="8">
        <f>'Sales Budget'!G145</f>
        <v>896201.549</v>
      </c>
      <c r="G15" s="8">
        <f>'Sales Budget'!H145</f>
        <v>1117301.8588</v>
      </c>
      <c r="H15" s="8">
        <f>'Sales Budget'!I145</f>
        <v>1338402.1686</v>
      </c>
      <c r="I15" s="8">
        <f>'Sales Budget'!J145</f>
        <v>1559502.4783999999</v>
      </c>
      <c r="J15" s="8">
        <f>'Sales Budget'!K145</f>
        <v>1828902.7882000001</v>
      </c>
      <c r="K15" s="8">
        <f>'Sales Budget'!L145</f>
        <v>2045978.098</v>
      </c>
      <c r="L15" s="8">
        <f>'Sales Budget'!M145</f>
        <v>2259028.4077999997</v>
      </c>
      <c r="M15" s="8">
        <f>'Sales Budget'!N145</f>
        <v>2428206</v>
      </c>
      <c r="N15" s="8"/>
    </row>
    <row r="16" spans="1:16" x14ac:dyDescent="0.25">
      <c r="A16" s="16" t="str">
        <f t="shared" si="4"/>
        <v>OTHER INCOME</v>
      </c>
      <c r="B16" s="8">
        <f>'Income Budget'!C84</f>
        <v>331600.05690000003</v>
      </c>
      <c r="C16" s="8">
        <f>'Income Budget'!D84</f>
        <v>663200.11380000005</v>
      </c>
      <c r="D16" s="8">
        <f>'Income Budget'!E84</f>
        <v>994800.1706999999</v>
      </c>
      <c r="E16" s="8">
        <f>'Income Budget'!F84</f>
        <v>1326400.2276000001</v>
      </c>
      <c r="F16" s="8">
        <f>'Income Budget'!G84</f>
        <v>1658000.2845000005</v>
      </c>
      <c r="G16" s="8">
        <f>'Income Budget'!H84</f>
        <v>1989600.3413999998</v>
      </c>
      <c r="H16" s="8">
        <f>'Income Budget'!I84</f>
        <v>2321200.3983</v>
      </c>
      <c r="I16" s="8">
        <f>'Income Budget'!J84</f>
        <v>2652800.4551999997</v>
      </c>
      <c r="J16" s="8">
        <f>'Income Budget'!K84</f>
        <v>2984400.5120999999</v>
      </c>
      <c r="K16" s="8">
        <f>'Income Budget'!L84</f>
        <v>3316000.5690000006</v>
      </c>
      <c r="L16" s="8">
        <f>'Income Budget'!M84</f>
        <v>3647600.6258999999</v>
      </c>
      <c r="M16" s="8">
        <f>'Income Budget'!N84</f>
        <v>3980792.9999999995</v>
      </c>
      <c r="N16" s="8"/>
    </row>
    <row r="17" spans="1:14" x14ac:dyDescent="0.25">
      <c r="A17" s="16" t="str">
        <f t="shared" si="4"/>
        <v>TOTAL INCOME</v>
      </c>
      <c r="B17" s="8">
        <f>SUM(B15:B16)</f>
        <v>552700.36670000001</v>
      </c>
      <c r="C17" s="8">
        <f t="shared" ref="C17:M17" si="5">SUM(C15:C16)</f>
        <v>1053075.7334</v>
      </c>
      <c r="D17" s="8">
        <f t="shared" si="5"/>
        <v>1553451.1000999999</v>
      </c>
      <c r="E17" s="8">
        <f t="shared" si="5"/>
        <v>2053826.4668000001</v>
      </c>
      <c r="F17" s="8">
        <f t="shared" si="5"/>
        <v>2554201.8335000006</v>
      </c>
      <c r="G17" s="8">
        <f t="shared" si="5"/>
        <v>3106902.2001999998</v>
      </c>
      <c r="H17" s="8">
        <f t="shared" si="5"/>
        <v>3659602.5669</v>
      </c>
      <c r="I17" s="8">
        <f t="shared" si="5"/>
        <v>4212302.9335999992</v>
      </c>
      <c r="J17" s="8">
        <f t="shared" si="5"/>
        <v>4813303.3003000002</v>
      </c>
      <c r="K17" s="8">
        <f t="shared" si="5"/>
        <v>5361978.6670000004</v>
      </c>
      <c r="L17" s="8">
        <f t="shared" si="5"/>
        <v>5906629.0336999996</v>
      </c>
      <c r="M17" s="8">
        <f t="shared" si="5"/>
        <v>6408999</v>
      </c>
      <c r="N17" s="8"/>
    </row>
    <row r="18" spans="1:14" x14ac:dyDescent="0.25">
      <c r="A18" s="16" t="str">
        <f t="shared" si="4"/>
        <v>EXPENSES</v>
      </c>
      <c r="B18" s="8">
        <f>'Expense budget'!C158</f>
        <v>501508.53347979992</v>
      </c>
      <c r="C18" s="8">
        <f>'Expense budget'!D158</f>
        <v>1003017.0669595998</v>
      </c>
      <c r="D18" s="8">
        <f>'Expense budget'!E158</f>
        <v>1504525.6004394002</v>
      </c>
      <c r="E18" s="8">
        <f>'Expense budget'!F158</f>
        <v>2006034.1339191997</v>
      </c>
      <c r="F18" s="8">
        <f>'Expense budget'!G158</f>
        <v>2507542.6673989999</v>
      </c>
      <c r="G18" s="8">
        <f>'Expense budget'!H158</f>
        <v>3009051.2008787999</v>
      </c>
      <c r="H18" s="8">
        <f>'Expense budget'!I158</f>
        <v>3510559.7343586003</v>
      </c>
      <c r="I18" s="8">
        <f>'Expense budget'!J158</f>
        <v>4012068.2678383994</v>
      </c>
      <c r="J18" s="8">
        <f>'Expense budget'!K158</f>
        <v>4513576.8013181984</v>
      </c>
      <c r="K18" s="8">
        <f>'Expense budget'!L158</f>
        <v>5015085.3347979998</v>
      </c>
      <c r="L18" s="8">
        <f>'Expense budget'!M158</f>
        <v>5516593.8682778021</v>
      </c>
      <c r="M18" s="8">
        <f>'Expense budget'!N158</f>
        <v>6020510.6059999997</v>
      </c>
      <c r="N18" s="8"/>
    </row>
    <row r="19" spans="1:14" x14ac:dyDescent="0.25">
      <c r="A19" s="16" t="str">
        <f t="shared" si="4"/>
        <v>LOCAL SAVINGS</v>
      </c>
      <c r="B19" s="8">
        <f>B17-B18</f>
        <v>51191.833220200089</v>
      </c>
      <c r="C19" s="8">
        <f t="shared" ref="C19:M19" si="6">C17-C18</f>
        <v>50058.666440400179</v>
      </c>
      <c r="D19" s="8">
        <f t="shared" si="6"/>
        <v>48925.499660599744</v>
      </c>
      <c r="E19" s="8">
        <f t="shared" si="6"/>
        <v>47792.332880800357</v>
      </c>
      <c r="F19" s="8">
        <f t="shared" si="6"/>
        <v>46659.166101000737</v>
      </c>
      <c r="G19" s="8">
        <f t="shared" si="6"/>
        <v>97850.999321199954</v>
      </c>
      <c r="H19" s="8">
        <f t="shared" si="6"/>
        <v>149042.83254139964</v>
      </c>
      <c r="I19" s="8">
        <f t="shared" si="6"/>
        <v>200234.66576159978</v>
      </c>
      <c r="J19" s="8">
        <f t="shared" si="6"/>
        <v>299726.49898180179</v>
      </c>
      <c r="K19" s="8">
        <f t="shared" si="6"/>
        <v>346893.33220200054</v>
      </c>
      <c r="L19" s="8">
        <f t="shared" si="6"/>
        <v>390035.16542219743</v>
      </c>
      <c r="M19" s="8">
        <f t="shared" si="6"/>
        <v>388488.39400000032</v>
      </c>
      <c r="N19" s="8"/>
    </row>
    <row r="21" spans="1:14" x14ac:dyDescent="0.25">
      <c r="A21" t="s">
        <v>193</v>
      </c>
    </row>
    <row r="22" spans="1:14" x14ac:dyDescent="0.25">
      <c r="B22" t="str">
        <f>B3</f>
        <v>JAN</v>
      </c>
      <c r="C22" t="str">
        <f t="shared" ref="C22:N22" si="7">C3</f>
        <v>FEB</v>
      </c>
      <c r="D22" t="str">
        <f t="shared" si="7"/>
        <v>MAR</v>
      </c>
      <c r="E22" t="str">
        <f t="shared" si="7"/>
        <v>APRIL</v>
      </c>
      <c r="F22" t="str">
        <f t="shared" si="7"/>
        <v>MAY</v>
      </c>
      <c r="G22" t="str">
        <f t="shared" si="7"/>
        <v>JUN</v>
      </c>
      <c r="H22" t="str">
        <f t="shared" si="7"/>
        <v>JUL</v>
      </c>
      <c r="I22" t="str">
        <f t="shared" si="7"/>
        <v>AUG</v>
      </c>
      <c r="J22" t="str">
        <f t="shared" si="7"/>
        <v>SEPT</v>
      </c>
      <c r="K22" t="str">
        <f t="shared" si="7"/>
        <v>OCT</v>
      </c>
      <c r="L22" t="str">
        <f t="shared" si="7"/>
        <v>NOV</v>
      </c>
      <c r="M22" t="str">
        <f t="shared" si="7"/>
        <v>DEC</v>
      </c>
      <c r="N22" t="str">
        <f t="shared" si="7"/>
        <v>TOTAL</v>
      </c>
    </row>
    <row r="23" spans="1:14" x14ac:dyDescent="0.25">
      <c r="A23" s="16" t="str">
        <f t="shared" ref="A23:A28" si="8">A4</f>
        <v>SALES</v>
      </c>
      <c r="B23" s="8">
        <f>'Sales Budget'!C74</f>
        <v>0</v>
      </c>
      <c r="C23" s="8">
        <f>'Sales Budget'!D74</f>
        <v>0</v>
      </c>
      <c r="D23" s="8">
        <f>'Sales Budget'!E74</f>
        <v>0</v>
      </c>
      <c r="E23" s="8">
        <f>'Sales Budget'!F74</f>
        <v>0</v>
      </c>
      <c r="F23" s="8">
        <f>'Sales Budget'!G74</f>
        <v>0</v>
      </c>
      <c r="G23" s="8">
        <f>'Sales Budget'!H74</f>
        <v>0</v>
      </c>
      <c r="H23" s="8">
        <f>'Sales Budget'!I74</f>
        <v>0</v>
      </c>
      <c r="I23" s="8">
        <f>'Sales Budget'!J74</f>
        <v>0</v>
      </c>
      <c r="J23" s="8">
        <f>'Sales Budget'!K74</f>
        <v>0</v>
      </c>
      <c r="K23" s="8">
        <f>'Sales Budget'!L74</f>
        <v>0</v>
      </c>
      <c r="L23" s="8">
        <f>'Sales Budget'!M74</f>
        <v>0</v>
      </c>
      <c r="M23" s="8">
        <f>'Sales Budget'!N74</f>
        <v>0</v>
      </c>
    </row>
    <row r="24" spans="1:14" x14ac:dyDescent="0.25">
      <c r="A24" s="16" t="str">
        <f t="shared" si="8"/>
        <v>MARGINS</v>
      </c>
      <c r="B24" s="8">
        <f>'Sales Budget'!C146</f>
        <v>0</v>
      </c>
      <c r="C24" s="8">
        <f>'Sales Budget'!D146</f>
        <v>0</v>
      </c>
      <c r="D24" s="8">
        <f>'Sales Budget'!E146</f>
        <v>0</v>
      </c>
      <c r="E24" s="8">
        <f>'Sales Budget'!F146</f>
        <v>0</v>
      </c>
      <c r="F24" s="8">
        <f>'Sales Budget'!G146</f>
        <v>0</v>
      </c>
      <c r="G24" s="8">
        <f>'Sales Budget'!H146</f>
        <v>0</v>
      </c>
      <c r="H24" s="8">
        <f>'Sales Budget'!I146</f>
        <v>0</v>
      </c>
      <c r="I24" s="8">
        <f>'Sales Budget'!J146</f>
        <v>0</v>
      </c>
      <c r="J24" s="8">
        <f>'Sales Budget'!K146</f>
        <v>0</v>
      </c>
      <c r="K24" s="8">
        <f>'Sales Budget'!L146</f>
        <v>0</v>
      </c>
      <c r="L24" s="8">
        <f>'Sales Budget'!M146</f>
        <v>0</v>
      </c>
      <c r="M24" s="8">
        <f>'Sales Budget'!N146</f>
        <v>0</v>
      </c>
    </row>
    <row r="25" spans="1:14" x14ac:dyDescent="0.25">
      <c r="A25" s="16" t="str">
        <f t="shared" si="8"/>
        <v>OTHER INCOME</v>
      </c>
      <c r="B25" s="8">
        <f>'Income Budget'!C85</f>
        <v>0</v>
      </c>
      <c r="C25" s="8">
        <f>'Income Budget'!D85</f>
        <v>0</v>
      </c>
      <c r="D25" s="8">
        <f>'Income Budget'!E85</f>
        <v>0</v>
      </c>
      <c r="E25" s="8">
        <f>'Income Budget'!F85</f>
        <v>0</v>
      </c>
      <c r="F25" s="8">
        <f>'Income Budget'!G85</f>
        <v>0</v>
      </c>
      <c r="G25" s="8">
        <f>'Income Budget'!H85</f>
        <v>0</v>
      </c>
      <c r="H25" s="8">
        <f>'Income Budget'!I85</f>
        <v>0</v>
      </c>
      <c r="I25" s="8">
        <f>'Income Budget'!J85</f>
        <v>0</v>
      </c>
      <c r="J25" s="8">
        <f>'Income Budget'!K85</f>
        <v>0</v>
      </c>
      <c r="K25" s="8">
        <f>'Income Budget'!L85</f>
        <v>0</v>
      </c>
      <c r="L25" s="8">
        <f>'Income Budget'!M85</f>
        <v>0</v>
      </c>
      <c r="M25" s="8">
        <f>'Income Budget'!N85</f>
        <v>0</v>
      </c>
    </row>
    <row r="26" spans="1:14" x14ac:dyDescent="0.25">
      <c r="A26" s="16" t="str">
        <f t="shared" si="8"/>
        <v>TOTAL INCOME</v>
      </c>
      <c r="B26" s="8">
        <f>B24+B25</f>
        <v>0</v>
      </c>
      <c r="C26" s="8">
        <f t="shared" ref="C26:M26" si="9">C24+C25</f>
        <v>0</v>
      </c>
      <c r="D26" s="8">
        <f t="shared" si="9"/>
        <v>0</v>
      </c>
      <c r="E26" s="8">
        <f t="shared" si="9"/>
        <v>0</v>
      </c>
      <c r="F26" s="8">
        <f t="shared" si="9"/>
        <v>0</v>
      </c>
      <c r="G26" s="8">
        <f t="shared" si="9"/>
        <v>0</v>
      </c>
      <c r="H26" s="8">
        <f t="shared" si="9"/>
        <v>0</v>
      </c>
      <c r="I26" s="8">
        <f t="shared" si="9"/>
        <v>0</v>
      </c>
      <c r="J26" s="8">
        <f t="shared" si="9"/>
        <v>0</v>
      </c>
      <c r="K26" s="8">
        <f t="shared" si="9"/>
        <v>0</v>
      </c>
      <c r="L26" s="8">
        <f t="shared" si="9"/>
        <v>0</v>
      </c>
      <c r="M26" s="8">
        <f t="shared" si="9"/>
        <v>0</v>
      </c>
    </row>
    <row r="27" spans="1:14" x14ac:dyDescent="0.25">
      <c r="A27" s="16" t="str">
        <f t="shared" si="8"/>
        <v>EXPENSES</v>
      </c>
      <c r="B27" s="8">
        <f>'Expense budget'!C159</f>
        <v>0</v>
      </c>
      <c r="C27" s="8">
        <f>'Expense budget'!D159</f>
        <v>0</v>
      </c>
      <c r="D27" s="8">
        <f>'Expense budget'!E159</f>
        <v>0</v>
      </c>
      <c r="E27" s="8">
        <f>'Expense budget'!F159</f>
        <v>0</v>
      </c>
      <c r="F27" s="8">
        <f>'Expense budget'!G159</f>
        <v>0</v>
      </c>
      <c r="G27" s="8">
        <f>'Expense budget'!H159</f>
        <v>0</v>
      </c>
      <c r="H27" s="8">
        <f>'Expense budget'!I159</f>
        <v>0</v>
      </c>
      <c r="I27" s="8">
        <f>'Expense budget'!J159</f>
        <v>0</v>
      </c>
      <c r="J27" s="8">
        <f>'Expense budget'!K159</f>
        <v>0</v>
      </c>
      <c r="K27" s="8">
        <f>'Expense budget'!L159</f>
        <v>0</v>
      </c>
      <c r="L27" s="8">
        <f>'Expense budget'!M159</f>
        <v>0</v>
      </c>
      <c r="M27" s="8">
        <f>'Expense budget'!N159</f>
        <v>0</v>
      </c>
    </row>
    <row r="28" spans="1:14" x14ac:dyDescent="0.25">
      <c r="A28" s="16" t="str">
        <f t="shared" si="8"/>
        <v>LOCAL SAVINGS</v>
      </c>
      <c r="B28" s="8">
        <f>B26-B27</f>
        <v>0</v>
      </c>
      <c r="C28" s="8">
        <f t="shared" ref="C28:M28" si="10">C26-C27</f>
        <v>0</v>
      </c>
      <c r="D28" s="8">
        <f t="shared" si="10"/>
        <v>0</v>
      </c>
      <c r="E28" s="8">
        <f t="shared" si="10"/>
        <v>0</v>
      </c>
      <c r="F28" s="8">
        <f t="shared" si="10"/>
        <v>0</v>
      </c>
      <c r="G28" s="8">
        <f t="shared" si="10"/>
        <v>0</v>
      </c>
      <c r="H28" s="8">
        <f t="shared" si="10"/>
        <v>0</v>
      </c>
      <c r="I28" s="8">
        <f t="shared" si="10"/>
        <v>0</v>
      </c>
      <c r="J28" s="8">
        <f t="shared" si="10"/>
        <v>0</v>
      </c>
      <c r="K28" s="8">
        <f t="shared" si="10"/>
        <v>0</v>
      </c>
      <c r="L28" s="8">
        <f t="shared" si="10"/>
        <v>0</v>
      </c>
      <c r="M28" s="8">
        <f t="shared" si="10"/>
        <v>0</v>
      </c>
    </row>
    <row r="29" spans="1:14" x14ac:dyDescent="0.25">
      <c r="A29" s="14"/>
    </row>
    <row r="30" spans="1:14" x14ac:dyDescent="0.25">
      <c r="A30" t="s">
        <v>194</v>
      </c>
    </row>
    <row r="31" spans="1:14" x14ac:dyDescent="0.25">
      <c r="B31" t="str">
        <f>B3</f>
        <v>JAN</v>
      </c>
      <c r="C31" t="str">
        <f t="shared" ref="C31:M31" si="11">C3</f>
        <v>FEB</v>
      </c>
      <c r="D31" t="str">
        <f t="shared" si="11"/>
        <v>MAR</v>
      </c>
      <c r="E31" t="str">
        <f t="shared" si="11"/>
        <v>APRIL</v>
      </c>
      <c r="F31" t="str">
        <f t="shared" si="11"/>
        <v>MAY</v>
      </c>
      <c r="G31" t="str">
        <f t="shared" si="11"/>
        <v>JUN</v>
      </c>
      <c r="H31" t="str">
        <f t="shared" si="11"/>
        <v>JUL</v>
      </c>
      <c r="I31" t="str">
        <f t="shared" si="11"/>
        <v>AUG</v>
      </c>
      <c r="J31" t="str">
        <f t="shared" si="11"/>
        <v>SEPT</v>
      </c>
      <c r="K31" t="str">
        <f t="shared" si="11"/>
        <v>OCT</v>
      </c>
      <c r="L31" t="str">
        <f t="shared" si="11"/>
        <v>NOV</v>
      </c>
      <c r="M31" t="str">
        <f t="shared" si="11"/>
        <v>DEC</v>
      </c>
    </row>
    <row r="32" spans="1:14" x14ac:dyDescent="0.25">
      <c r="A32" s="16" t="str">
        <f t="shared" ref="A32:A37" si="12">A4</f>
        <v>SALES</v>
      </c>
      <c r="B32" s="8">
        <f>B23</f>
        <v>0</v>
      </c>
      <c r="C32" s="8">
        <f>SUM($B23:C23)</f>
        <v>0</v>
      </c>
      <c r="D32" s="8">
        <f>SUM($B23:D23)</f>
        <v>0</v>
      </c>
      <c r="E32" s="8">
        <f>SUM($B23:E23)</f>
        <v>0</v>
      </c>
      <c r="F32" s="8">
        <f>SUM($B23:F23)</f>
        <v>0</v>
      </c>
      <c r="G32" s="8">
        <f>SUM($B23:G23)</f>
        <v>0</v>
      </c>
      <c r="H32" s="8">
        <f>SUM($B23:H23)</f>
        <v>0</v>
      </c>
      <c r="I32" s="8">
        <f>SUM($B23:I23)</f>
        <v>0</v>
      </c>
      <c r="J32" s="8">
        <f>SUM($B23:J23)</f>
        <v>0</v>
      </c>
      <c r="K32" s="8">
        <f>SUM($B23:K23)</f>
        <v>0</v>
      </c>
      <c r="L32" s="8">
        <f>SUM($B23:L23)</f>
        <v>0</v>
      </c>
      <c r="M32" s="8">
        <f>SUM($B23:M23)</f>
        <v>0</v>
      </c>
    </row>
    <row r="33" spans="1:13" x14ac:dyDescent="0.25">
      <c r="A33" s="16" t="str">
        <f t="shared" si="12"/>
        <v>MARGINS</v>
      </c>
      <c r="B33" s="8">
        <f t="shared" ref="B33:B37" si="13">B24</f>
        <v>0</v>
      </c>
      <c r="C33" s="8">
        <f>SUM($B24:C24)</f>
        <v>0</v>
      </c>
      <c r="D33" s="8">
        <f>SUM($B24:D24)</f>
        <v>0</v>
      </c>
      <c r="E33" s="8">
        <f>SUM($B24:E24)</f>
        <v>0</v>
      </c>
      <c r="F33" s="8">
        <f>SUM($B24:F24)</f>
        <v>0</v>
      </c>
      <c r="G33" s="8">
        <f>SUM($B24:G24)</f>
        <v>0</v>
      </c>
      <c r="H33" s="8">
        <f>SUM($B24:H24)</f>
        <v>0</v>
      </c>
      <c r="I33" s="8">
        <f>SUM($B24:I24)</f>
        <v>0</v>
      </c>
      <c r="J33" s="8">
        <f>SUM($B24:J24)</f>
        <v>0</v>
      </c>
      <c r="K33" s="8">
        <f>SUM($B24:K24)</f>
        <v>0</v>
      </c>
      <c r="L33" s="8">
        <f>SUM($B24:L24)</f>
        <v>0</v>
      </c>
      <c r="M33" s="8">
        <f>SUM($B24:M24)</f>
        <v>0</v>
      </c>
    </row>
    <row r="34" spans="1:13" x14ac:dyDescent="0.25">
      <c r="A34" s="16" t="str">
        <f t="shared" si="12"/>
        <v>OTHER INCOME</v>
      </c>
      <c r="B34" s="8">
        <f t="shared" si="13"/>
        <v>0</v>
      </c>
      <c r="C34" s="8">
        <f>SUM($B25:C25)</f>
        <v>0</v>
      </c>
      <c r="D34" s="8">
        <f>SUM($B25:D25)</f>
        <v>0</v>
      </c>
      <c r="E34" s="8">
        <f>SUM($B25:E25)</f>
        <v>0</v>
      </c>
      <c r="F34" s="8">
        <f>SUM($B25:F25)</f>
        <v>0</v>
      </c>
      <c r="G34" s="8">
        <f>SUM($B25:G25)</f>
        <v>0</v>
      </c>
      <c r="H34" s="8">
        <f>SUM($B25:H25)</f>
        <v>0</v>
      </c>
      <c r="I34" s="8">
        <f>SUM($B25:I25)</f>
        <v>0</v>
      </c>
      <c r="J34" s="8">
        <f>SUM($B25:J25)</f>
        <v>0</v>
      </c>
      <c r="K34" s="8">
        <f>SUM($B25:K25)</f>
        <v>0</v>
      </c>
      <c r="L34" s="8">
        <f>SUM($B25:L25)</f>
        <v>0</v>
      </c>
      <c r="M34" s="8">
        <f>SUM($B25:M25)</f>
        <v>0</v>
      </c>
    </row>
    <row r="35" spans="1:13" x14ac:dyDescent="0.25">
      <c r="A35" s="16" t="str">
        <f t="shared" si="12"/>
        <v>TOTAL INCOME</v>
      </c>
      <c r="B35" s="8">
        <f t="shared" si="13"/>
        <v>0</v>
      </c>
      <c r="C35" s="8">
        <f>SUM($B26:C26)</f>
        <v>0</v>
      </c>
      <c r="D35" s="8">
        <f>SUM($B26:D26)</f>
        <v>0</v>
      </c>
      <c r="E35" s="8">
        <f>SUM($B26:E26)</f>
        <v>0</v>
      </c>
      <c r="F35" s="8">
        <f>SUM($B26:F26)</f>
        <v>0</v>
      </c>
      <c r="G35" s="8">
        <f>SUM($B26:G26)</f>
        <v>0</v>
      </c>
      <c r="H35" s="8">
        <f>SUM($B26:H26)</f>
        <v>0</v>
      </c>
      <c r="I35" s="8">
        <f>SUM($B26:I26)</f>
        <v>0</v>
      </c>
      <c r="J35" s="8">
        <f>SUM($B26:J26)</f>
        <v>0</v>
      </c>
      <c r="K35" s="8">
        <f>SUM($B26:K26)</f>
        <v>0</v>
      </c>
      <c r="L35" s="8">
        <f>SUM($B26:L26)</f>
        <v>0</v>
      </c>
      <c r="M35" s="8">
        <f>SUM($B26:M26)</f>
        <v>0</v>
      </c>
    </row>
    <row r="36" spans="1:13" x14ac:dyDescent="0.25">
      <c r="A36" s="16" t="str">
        <f t="shared" si="12"/>
        <v>EXPENSES</v>
      </c>
      <c r="B36" s="8">
        <f t="shared" si="13"/>
        <v>0</v>
      </c>
      <c r="C36" s="8">
        <f>SUM($B27:C27)</f>
        <v>0</v>
      </c>
      <c r="D36" s="8">
        <f>SUM($B27:D27)</f>
        <v>0</v>
      </c>
      <c r="E36" s="8">
        <f>SUM($B27:E27)</f>
        <v>0</v>
      </c>
      <c r="F36" s="8">
        <f>SUM($B27:F27)</f>
        <v>0</v>
      </c>
      <c r="G36" s="8">
        <f>SUM($B27:G27)</f>
        <v>0</v>
      </c>
      <c r="H36" s="8">
        <f>SUM($B27:H27)</f>
        <v>0</v>
      </c>
      <c r="I36" s="8">
        <f>SUM($B27:I27)</f>
        <v>0</v>
      </c>
      <c r="J36" s="8">
        <f>SUM($B27:J27)</f>
        <v>0</v>
      </c>
      <c r="K36" s="8">
        <f>SUM($B27:K27)</f>
        <v>0</v>
      </c>
      <c r="L36" s="8">
        <f>SUM($B27:L27)</f>
        <v>0</v>
      </c>
      <c r="M36" s="8">
        <f>SUM($B27:M27)</f>
        <v>0</v>
      </c>
    </row>
    <row r="37" spans="1:13" x14ac:dyDescent="0.25">
      <c r="A37" s="16" t="str">
        <f t="shared" si="12"/>
        <v>LOCAL SAVINGS</v>
      </c>
      <c r="B37" s="8">
        <f t="shared" si="13"/>
        <v>0</v>
      </c>
      <c r="C37" s="8">
        <f>SUM($B28:C28)</f>
        <v>0</v>
      </c>
      <c r="D37" s="8">
        <f>SUM($B28:D28)</f>
        <v>0</v>
      </c>
      <c r="E37" s="8">
        <f>SUM($B28:E28)</f>
        <v>0</v>
      </c>
      <c r="F37" s="8">
        <f>SUM($B28:F28)</f>
        <v>0</v>
      </c>
      <c r="G37" s="8">
        <f>SUM($B28:G28)</f>
        <v>0</v>
      </c>
      <c r="H37" s="8">
        <f>SUM($B28:H28)</f>
        <v>0</v>
      </c>
      <c r="I37" s="8">
        <f>SUM($B28:I28)</f>
        <v>0</v>
      </c>
      <c r="J37" s="8">
        <f>SUM($B28:J28)</f>
        <v>0</v>
      </c>
      <c r="K37" s="8">
        <f>SUM($B28:K28)</f>
        <v>0</v>
      </c>
      <c r="L37" s="8">
        <f>SUM($B28:L28)</f>
        <v>0</v>
      </c>
      <c r="M37" s="8">
        <f>SUM($B28:M28)</f>
        <v>0</v>
      </c>
    </row>
  </sheetData>
  <phoneticPr fontId="2"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abSelected="1" workbookViewId="0">
      <selection activeCell="A2" sqref="A2"/>
    </sheetView>
  </sheetViews>
  <sheetFormatPr defaultRowHeight="15" x14ac:dyDescent="0.25"/>
  <cols>
    <col min="1" max="1" width="20" customWidth="1"/>
    <col min="2" max="13" width="13.28515625" bestFit="1" customWidth="1"/>
    <col min="14" max="14" width="11.5703125" bestFit="1" customWidth="1"/>
  </cols>
  <sheetData>
    <row r="1" spans="1:14" x14ac:dyDescent="0.25">
      <c r="A1" t="str">
        <f>'5 year history'!A8</f>
        <v>Anytown Cooperative</v>
      </c>
      <c r="D1" s="77">
        <f>'5 year history'!F8</f>
        <v>41038</v>
      </c>
    </row>
    <row r="2" spans="1:14" x14ac:dyDescent="0.25">
      <c r="A2" t="s">
        <v>277</v>
      </c>
    </row>
    <row r="3" spans="1:14" x14ac:dyDescent="0.25">
      <c r="B3" t="str">
        <f>'Monthly Sales Worksheet'!C8</f>
        <v>JAN</v>
      </c>
      <c r="C3" t="str">
        <f>'Monthly Sales Worksheet'!D8</f>
        <v>FEB</v>
      </c>
      <c r="D3" t="str">
        <f>'Monthly Sales Worksheet'!E8</f>
        <v>MAR</v>
      </c>
      <c r="E3" t="str">
        <f>'Monthly Sales Worksheet'!F8</f>
        <v>APRIL</v>
      </c>
      <c r="F3" t="str">
        <f>'Monthly Sales Worksheet'!G8</f>
        <v>MAY</v>
      </c>
      <c r="G3" t="str">
        <f>'Monthly Sales Worksheet'!H8</f>
        <v>JUN</v>
      </c>
      <c r="H3" t="str">
        <f>'Monthly Sales Worksheet'!I8</f>
        <v>JUL</v>
      </c>
      <c r="I3" t="str">
        <f>'Monthly Sales Worksheet'!J8</f>
        <v>AUG</v>
      </c>
      <c r="J3" t="str">
        <f>'Monthly Sales Worksheet'!K8</f>
        <v>SEPT</v>
      </c>
      <c r="K3" t="str">
        <f>'Monthly Sales Worksheet'!L8</f>
        <v>OCT</v>
      </c>
      <c r="L3" t="str">
        <f>'Monthly Sales Worksheet'!M8</f>
        <v>NOV</v>
      </c>
      <c r="M3" t="str">
        <f>'Monthly Sales Worksheet'!N8</f>
        <v>DEC</v>
      </c>
    </row>
    <row r="4" spans="1:14" x14ac:dyDescent="0.25">
      <c r="A4" t="s">
        <v>9</v>
      </c>
      <c r="B4" s="20">
        <f>'Profit Summary'!B10</f>
        <v>151191.83322020009</v>
      </c>
      <c r="C4" s="20">
        <f>'Profit Summary'!C10</f>
        <v>-1133.1667797999107</v>
      </c>
      <c r="D4" s="20">
        <f>'Profit Summary'!D10</f>
        <v>-1133.1667797999107</v>
      </c>
      <c r="E4" s="20">
        <f>'Profit Summary'!E10</f>
        <v>-1133.1667797999107</v>
      </c>
      <c r="F4" s="20">
        <f>'Profit Summary'!F10</f>
        <v>-1133.1667797999107</v>
      </c>
      <c r="G4" s="20">
        <f>'Profit Summary'!G10</f>
        <v>51191.833220200089</v>
      </c>
      <c r="H4" s="20">
        <f>'Profit Summary'!H10</f>
        <v>51191.833220200089</v>
      </c>
      <c r="I4" s="20">
        <f>'Profit Summary'!I10</f>
        <v>51191.833220200089</v>
      </c>
      <c r="J4" s="20">
        <f>'Profit Summary'!J10</f>
        <v>99491.833220200089</v>
      </c>
      <c r="K4" s="20">
        <f>'Profit Summary'!K10</f>
        <v>47166.833220200089</v>
      </c>
      <c r="L4" s="20">
        <f>'Profit Summary'!L10</f>
        <v>43141.833220200089</v>
      </c>
      <c r="M4" s="20">
        <f>'Profit Summary'!M10</f>
        <v>-1546.7714222000795</v>
      </c>
      <c r="N4" s="20">
        <f>SUM(B4:M4)</f>
        <v>488488.3940000009</v>
      </c>
    </row>
    <row r="5" spans="1:14" x14ac:dyDescent="0.25">
      <c r="A5" t="s">
        <v>278</v>
      </c>
      <c r="B5" s="20">
        <f>'Expense budget'!C31</f>
        <v>49179.237099999998</v>
      </c>
      <c r="C5" s="20">
        <f>'Expense budget'!D31</f>
        <v>49179.237099999998</v>
      </c>
      <c r="D5" s="20">
        <f>'Expense budget'!E31</f>
        <v>49179.237099999998</v>
      </c>
      <c r="E5" s="20">
        <f>'Expense budget'!F31</f>
        <v>49179.237099999998</v>
      </c>
      <c r="F5" s="20">
        <f>'Expense budget'!G31</f>
        <v>49179.237099999998</v>
      </c>
      <c r="G5" s="20">
        <f>'Expense budget'!H31</f>
        <v>49179.237099999998</v>
      </c>
      <c r="H5" s="20">
        <f>'Expense budget'!I31</f>
        <v>49179.237099999998</v>
      </c>
      <c r="I5" s="20">
        <f>'Expense budget'!J31</f>
        <v>49179.237099999998</v>
      </c>
      <c r="J5" s="20">
        <f>'Expense budget'!K31</f>
        <v>49179.237099999998</v>
      </c>
      <c r="K5" s="20">
        <f>'Expense budget'!L31</f>
        <v>49179.237099999998</v>
      </c>
      <c r="L5" s="20">
        <f>'Expense budget'!M31</f>
        <v>49179.237099999998</v>
      </c>
      <c r="M5" s="20">
        <f>'Expense budget'!N31</f>
        <v>49415.39189999993</v>
      </c>
      <c r="N5" s="20">
        <f>SUM(B5:M5)</f>
        <v>590387</v>
      </c>
    </row>
    <row r="6" spans="1:14" x14ac:dyDescent="0.25">
      <c r="A6" t="s">
        <v>279</v>
      </c>
      <c r="B6" s="20">
        <f>Cashflow!B15</f>
        <v>0</v>
      </c>
      <c r="C6" s="20">
        <f>Cashflow!C15</f>
        <v>0</v>
      </c>
      <c r="D6" s="20">
        <f>Cashflow!D15</f>
        <v>0</v>
      </c>
      <c r="E6" s="20">
        <f>Cashflow!E15</f>
        <v>0</v>
      </c>
      <c r="F6" s="20">
        <f>Cashflow!F15</f>
        <v>0</v>
      </c>
      <c r="G6" s="20">
        <f>Cashflow!G15</f>
        <v>0</v>
      </c>
      <c r="H6" s="20">
        <f>Cashflow!H15</f>
        <v>0</v>
      </c>
      <c r="I6" s="20">
        <f>Cashflow!I15</f>
        <v>0</v>
      </c>
      <c r="J6" s="20">
        <f>Cashflow!J15</f>
        <v>0</v>
      </c>
      <c r="K6" s="20">
        <f>Cashflow!K15</f>
        <v>0</v>
      </c>
      <c r="L6" s="20">
        <f>Cashflow!L15</f>
        <v>0</v>
      </c>
      <c r="M6" s="20">
        <f>Cashflow!M15</f>
        <v>0</v>
      </c>
      <c r="N6" s="20"/>
    </row>
    <row r="7" spans="1:14" x14ac:dyDescent="0.25">
      <c r="A7" t="s">
        <v>280</v>
      </c>
      <c r="B7" s="20"/>
      <c r="C7" s="20"/>
      <c r="D7" s="20"/>
      <c r="E7" s="20"/>
      <c r="F7" s="20"/>
      <c r="G7" s="20"/>
      <c r="H7" s="20"/>
      <c r="I7" s="20"/>
      <c r="J7" s="20"/>
      <c r="K7" s="20"/>
      <c r="L7" s="20"/>
      <c r="M7" s="20"/>
      <c r="N7" s="20"/>
    </row>
    <row r="8" spans="1:14" x14ac:dyDescent="0.25">
      <c r="A8" t="s">
        <v>281</v>
      </c>
      <c r="B8" s="20">
        <f>Cashflow!B37+Cashflow!B38+Cashflow!B39</f>
        <v>0</v>
      </c>
      <c r="C8" s="20">
        <f>Cashflow!C37+Cashflow!C38+Cashflow!C39</f>
        <v>0</v>
      </c>
      <c r="D8" s="20">
        <f>Cashflow!D37+Cashflow!D38+Cashflow!D39</f>
        <v>0</v>
      </c>
      <c r="E8" s="20">
        <f>Cashflow!E37+Cashflow!E38+Cashflow!E39</f>
        <v>250000</v>
      </c>
      <c r="F8" s="20">
        <f>Cashflow!F37+Cashflow!F38+Cashflow!F39</f>
        <v>0</v>
      </c>
      <c r="G8" s="20">
        <f>Cashflow!G37+Cashflow!G38+Cashflow!G39</f>
        <v>0</v>
      </c>
      <c r="H8" s="20">
        <f>Cashflow!H37+Cashflow!H38+Cashflow!H39</f>
        <v>0</v>
      </c>
      <c r="I8" s="20">
        <f>Cashflow!I37+Cashflow!I38+Cashflow!I39</f>
        <v>250000</v>
      </c>
      <c r="J8" s="20">
        <f>Cashflow!J37+Cashflow!J38+Cashflow!J39</f>
        <v>0</v>
      </c>
      <c r="K8" s="20">
        <f>Cashflow!K37+Cashflow!K38+Cashflow!K39</f>
        <v>0</v>
      </c>
      <c r="L8" s="20">
        <f>Cashflow!L37+Cashflow!L38+Cashflow!L39</f>
        <v>0</v>
      </c>
      <c r="M8" s="20">
        <f>Cashflow!M37+Cashflow!M38+Cashflow!M39</f>
        <v>0</v>
      </c>
      <c r="N8" s="20"/>
    </row>
    <row r="9" spans="1:14" x14ac:dyDescent="0.25">
      <c r="A9" t="s">
        <v>282</v>
      </c>
      <c r="B9" s="20">
        <f>Cashflow!B33</f>
        <v>0</v>
      </c>
      <c r="C9" s="20">
        <f>Cashflow!C33</f>
        <v>0</v>
      </c>
      <c r="D9" s="20">
        <f>Cashflow!D33</f>
        <v>0</v>
      </c>
      <c r="E9" s="20">
        <f>Cashflow!E33</f>
        <v>0</v>
      </c>
      <c r="F9" s="20">
        <f>Cashflow!F33</f>
        <v>0</v>
      </c>
      <c r="G9" s="20">
        <f>Cashflow!G33</f>
        <v>250000</v>
      </c>
      <c r="H9" s="20">
        <f>Cashflow!H33</f>
        <v>0</v>
      </c>
      <c r="I9" s="20">
        <f>Cashflow!I33</f>
        <v>0</v>
      </c>
      <c r="J9" s="20">
        <f>Cashflow!J33</f>
        <v>0</v>
      </c>
      <c r="K9" s="20">
        <f>Cashflow!K33</f>
        <v>0</v>
      </c>
      <c r="L9" s="20">
        <f>Cashflow!L33</f>
        <v>0</v>
      </c>
      <c r="M9" s="20">
        <f>Cashflow!M33</f>
        <v>0</v>
      </c>
      <c r="N9" s="20"/>
    </row>
    <row r="10" spans="1:14" x14ac:dyDescent="0.25">
      <c r="A10" t="s">
        <v>283</v>
      </c>
      <c r="B10" s="20">
        <f>Cashflow!B43-Cashflow!B24</f>
        <v>70000</v>
      </c>
      <c r="C10" s="20">
        <f>Cashflow!C43-Cashflow!C24</f>
        <v>0</v>
      </c>
      <c r="D10" s="20">
        <f>Cashflow!D43-Cashflow!D24</f>
        <v>0</v>
      </c>
      <c r="E10" s="20">
        <f>Cashflow!E43-Cashflow!E24</f>
        <v>0</v>
      </c>
      <c r="F10" s="20">
        <f>Cashflow!F43-Cashflow!F24</f>
        <v>0</v>
      </c>
      <c r="G10" s="20">
        <f>Cashflow!G43-Cashflow!G24</f>
        <v>0</v>
      </c>
      <c r="H10" s="20">
        <f>Cashflow!H43-Cashflow!H24</f>
        <v>0</v>
      </c>
      <c r="I10" s="20">
        <f>Cashflow!I43-Cashflow!I24</f>
        <v>0</v>
      </c>
      <c r="J10" s="20">
        <f>Cashflow!J43-Cashflow!J24</f>
        <v>0</v>
      </c>
      <c r="K10" s="20">
        <f>Cashflow!K43-Cashflow!K24</f>
        <v>0</v>
      </c>
      <c r="L10" s="20">
        <f>Cashflow!L43-Cashflow!L24</f>
        <v>0</v>
      </c>
      <c r="M10" s="20">
        <f>Cashflow!M43-Cashflow!M24</f>
        <v>0</v>
      </c>
      <c r="N10" s="20"/>
    </row>
    <row r="11" spans="1:14" x14ac:dyDescent="0.25">
      <c r="A11" t="s">
        <v>284</v>
      </c>
      <c r="B11" s="20">
        <f>Cashflow!B45</f>
        <v>0</v>
      </c>
      <c r="C11" s="20">
        <f>Cashflow!C45</f>
        <v>0</v>
      </c>
      <c r="D11" s="20">
        <f>Cashflow!D45</f>
        <v>0</v>
      </c>
      <c r="E11" s="20">
        <f>Cashflow!E45</f>
        <v>0</v>
      </c>
      <c r="F11" s="20">
        <f>Cashflow!F45</f>
        <v>0</v>
      </c>
      <c r="G11" s="20">
        <f>Cashflow!G45</f>
        <v>0</v>
      </c>
      <c r="H11" s="20">
        <f>Cashflow!H45</f>
        <v>0</v>
      </c>
      <c r="I11" s="20">
        <f>Cashflow!I45</f>
        <v>0</v>
      </c>
      <c r="J11" s="20">
        <f>Cashflow!J45</f>
        <v>0</v>
      </c>
      <c r="K11" s="20">
        <f>Cashflow!K45</f>
        <v>0</v>
      </c>
      <c r="L11" s="20">
        <f>Cashflow!L45</f>
        <v>300000</v>
      </c>
      <c r="M11" s="20">
        <f>Cashflow!M45</f>
        <v>0</v>
      </c>
      <c r="N11" s="20"/>
    </row>
    <row r="12" spans="1:14" x14ac:dyDescent="0.25">
      <c r="A12" t="s">
        <v>293</v>
      </c>
      <c r="B12" s="20">
        <f>Cashflow!B46</f>
        <v>0</v>
      </c>
      <c r="C12" s="20">
        <f>Cashflow!C46</f>
        <v>0</v>
      </c>
      <c r="D12" s="20">
        <f>Cashflow!D46</f>
        <v>0</v>
      </c>
      <c r="E12" s="20">
        <f>Cashflow!E46</f>
        <v>0</v>
      </c>
      <c r="F12" s="20">
        <f>Cashflow!F46</f>
        <v>0</v>
      </c>
      <c r="G12" s="20">
        <f>Cashflow!G46</f>
        <v>0</v>
      </c>
      <c r="H12" s="20">
        <f>Cashflow!H46</f>
        <v>0</v>
      </c>
      <c r="I12" s="20">
        <f>Cashflow!I46</f>
        <v>0</v>
      </c>
      <c r="J12" s="20">
        <f>Cashflow!J46</f>
        <v>0</v>
      </c>
      <c r="K12" s="20">
        <f>Cashflow!K46</f>
        <v>0</v>
      </c>
      <c r="L12" s="20">
        <f>Cashflow!L46</f>
        <v>0</v>
      </c>
      <c r="M12" s="20">
        <f>Cashflow!M46</f>
        <v>122122.09849999985</v>
      </c>
      <c r="N12" s="20"/>
    </row>
    <row r="13" spans="1:14" x14ac:dyDescent="0.25">
      <c r="A13" t="s">
        <v>286</v>
      </c>
      <c r="B13" s="20">
        <f>'Balance sheet'!C22-'Balance sheet'!K18</f>
        <v>2805524</v>
      </c>
      <c r="C13" s="20">
        <f>B15</f>
        <v>2935895.0703202002</v>
      </c>
      <c r="D13" s="20">
        <f t="shared" ref="D13:M13" si="0">C15</f>
        <v>2983941.1406404004</v>
      </c>
      <c r="E13" s="20">
        <f t="shared" si="0"/>
        <v>3031987.2109606005</v>
      </c>
      <c r="F13" s="20">
        <f t="shared" si="0"/>
        <v>2830033.2812808007</v>
      </c>
      <c r="G13" s="20">
        <f t="shared" si="0"/>
        <v>2878079.3516010009</v>
      </c>
      <c r="H13" s="20">
        <f t="shared" si="0"/>
        <v>2728450.4219212011</v>
      </c>
      <c r="I13" s="20">
        <f t="shared" si="0"/>
        <v>2828821.4922414012</v>
      </c>
      <c r="J13" s="20">
        <f t="shared" si="0"/>
        <v>2679192.5625616014</v>
      </c>
      <c r="K13" s="20">
        <f t="shared" si="0"/>
        <v>2827863.6328818016</v>
      </c>
      <c r="L13" s="20">
        <f t="shared" si="0"/>
        <v>2924209.7032020018</v>
      </c>
      <c r="M13" s="20">
        <f t="shared" si="0"/>
        <v>2716530.7735222019</v>
      </c>
      <c r="N13" s="20"/>
    </row>
    <row r="14" spans="1:14" x14ac:dyDescent="0.25">
      <c r="A14" t="s">
        <v>288</v>
      </c>
      <c r="B14" s="20">
        <f>B4+B5+B6+B7-B8-B9-B10-B11-B12</f>
        <v>130371.07032020009</v>
      </c>
      <c r="C14" s="20">
        <f t="shared" ref="C14:M14" si="1">C4+C5+C6+C7-C8-C9-C10-C11-C12</f>
        <v>48046.070320200088</v>
      </c>
      <c r="D14" s="20">
        <f t="shared" si="1"/>
        <v>48046.070320200088</v>
      </c>
      <c r="E14" s="20">
        <f t="shared" si="1"/>
        <v>-201953.92967979991</v>
      </c>
      <c r="F14" s="20">
        <f t="shared" si="1"/>
        <v>48046.070320200088</v>
      </c>
      <c r="G14" s="20">
        <f t="shared" si="1"/>
        <v>-149628.92967979991</v>
      </c>
      <c r="H14" s="20">
        <f t="shared" si="1"/>
        <v>100371.07032020009</v>
      </c>
      <c r="I14" s="20">
        <f t="shared" si="1"/>
        <v>-149628.92967979991</v>
      </c>
      <c r="J14" s="20">
        <f t="shared" si="1"/>
        <v>148671.07032020009</v>
      </c>
      <c r="K14" s="20">
        <f t="shared" si="1"/>
        <v>96346.070320200088</v>
      </c>
      <c r="L14" s="20">
        <f t="shared" si="1"/>
        <v>-207678.92967979991</v>
      </c>
      <c r="M14" s="20">
        <f t="shared" si="1"/>
        <v>-74253.478022199997</v>
      </c>
      <c r="N14" s="6"/>
    </row>
    <row r="15" spans="1:14" x14ac:dyDescent="0.25">
      <c r="A15" t="s">
        <v>287</v>
      </c>
      <c r="B15" s="20">
        <f>B13+B14</f>
        <v>2935895.0703202002</v>
      </c>
      <c r="C15" s="20">
        <f>C13+C14</f>
        <v>2983941.1406404004</v>
      </c>
      <c r="D15" s="20">
        <f t="shared" ref="D15:M15" si="2">D13+D14</f>
        <v>3031987.2109606005</v>
      </c>
      <c r="E15" s="20">
        <f t="shared" si="2"/>
        <v>2830033.2812808007</v>
      </c>
      <c r="F15" s="20">
        <f t="shared" si="2"/>
        <v>2878079.3516010009</v>
      </c>
      <c r="G15" s="20">
        <f t="shared" si="2"/>
        <v>2728450.4219212011</v>
      </c>
      <c r="H15" s="20">
        <f t="shared" si="2"/>
        <v>2828821.4922414012</v>
      </c>
      <c r="I15" s="20">
        <f t="shared" si="2"/>
        <v>2679192.5625616014</v>
      </c>
      <c r="J15" s="20">
        <f t="shared" si="2"/>
        <v>2827863.6328818016</v>
      </c>
      <c r="K15" s="20">
        <f t="shared" si="2"/>
        <v>2924209.7032020018</v>
      </c>
      <c r="L15" s="20">
        <f t="shared" si="2"/>
        <v>2716530.7735222019</v>
      </c>
      <c r="M15" s="20">
        <f t="shared" si="2"/>
        <v>2642277.2955000019</v>
      </c>
    </row>
    <row r="16" spans="1:14" x14ac:dyDescent="0.25">
      <c r="B16" s="20"/>
      <c r="C16" s="20"/>
      <c r="D16" s="20"/>
      <c r="E16" s="20"/>
      <c r="F16" s="20"/>
      <c r="G16" s="20"/>
      <c r="H16" s="20"/>
      <c r="I16" s="20"/>
      <c r="J16" s="20"/>
      <c r="K16" s="20"/>
      <c r="L16" s="20"/>
      <c r="M16" s="20"/>
      <c r="N16" s="6" t="s">
        <v>300</v>
      </c>
    </row>
    <row r="17" spans="2:14" x14ac:dyDescent="0.25">
      <c r="B17" s="20"/>
      <c r="C17" s="20"/>
      <c r="D17" s="20"/>
      <c r="E17" s="20"/>
      <c r="F17" s="20"/>
      <c r="G17" s="20"/>
      <c r="H17" s="20"/>
      <c r="I17" s="20"/>
      <c r="J17" s="20"/>
      <c r="K17" s="20"/>
      <c r="L17" s="20"/>
      <c r="M17" s="20">
        <f>M15-'5 year history'!J34</f>
        <v>0</v>
      </c>
      <c r="N17" s="20">
        <f>AVERAGE(B15:M15)</f>
        <v>2833940.161386101</v>
      </c>
    </row>
  </sheetData>
  <phoneticPr fontId="2"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5"/>
  <sheetViews>
    <sheetView zoomScale="90" zoomScaleNormal="90" workbookViewId="0">
      <selection activeCell="K36" sqref="K36"/>
    </sheetView>
  </sheetViews>
  <sheetFormatPr defaultRowHeight="15" x14ac:dyDescent="0.25"/>
  <cols>
    <col min="1" max="1" width="20.5703125" customWidth="1"/>
    <col min="2" max="2" width="13.42578125" bestFit="1" customWidth="1"/>
    <col min="3" max="3" width="14.28515625" bestFit="1" customWidth="1"/>
    <col min="4" max="5" width="13.28515625" bestFit="1" customWidth="1"/>
    <col min="6" max="6" width="13.42578125" bestFit="1" customWidth="1"/>
    <col min="8" max="9" width="13.28515625" bestFit="1" customWidth="1"/>
    <col min="10" max="10" width="14.28515625" bestFit="1" customWidth="1"/>
    <col min="11" max="11" width="13.28515625" bestFit="1" customWidth="1"/>
  </cols>
  <sheetData>
    <row r="1" spans="1:16" x14ac:dyDescent="0.25">
      <c r="A1" t="str">
        <f>'5 year history'!A8</f>
        <v>Anytown Cooperative</v>
      </c>
      <c r="C1" t="str">
        <f>'5 year history'!E8</f>
        <v>DATE</v>
      </c>
      <c r="D1">
        <f>'5 year history'!F8</f>
        <v>41038</v>
      </c>
      <c r="E1" t="s">
        <v>333</v>
      </c>
      <c r="K1" s="43"/>
    </row>
    <row r="2" spans="1:16" x14ac:dyDescent="0.25">
      <c r="C2" s="36" t="str">
        <f>'Monthly Sales Worksheet'!$C$6</f>
        <v>Back to Instructions</v>
      </c>
      <c r="E2" s="2" t="s">
        <v>406</v>
      </c>
    </row>
    <row r="3" spans="1:16" x14ac:dyDescent="0.25">
      <c r="E3" t="s">
        <v>334</v>
      </c>
    </row>
    <row r="4" spans="1:16" x14ac:dyDescent="0.25">
      <c r="E4" t="s">
        <v>305</v>
      </c>
    </row>
    <row r="5" spans="1:16" x14ac:dyDescent="0.25">
      <c r="E5" t="s">
        <v>407</v>
      </c>
    </row>
    <row r="6" spans="1:16" x14ac:dyDescent="0.25">
      <c r="A6" t="s">
        <v>32</v>
      </c>
      <c r="B6">
        <v>40102</v>
      </c>
      <c r="D6" t="s">
        <v>6</v>
      </c>
      <c r="E6" t="s">
        <v>6</v>
      </c>
      <c r="F6" t="s">
        <v>6</v>
      </c>
      <c r="G6" t="s">
        <v>6</v>
      </c>
    </row>
    <row r="7" spans="1:16" x14ac:dyDescent="0.25">
      <c r="A7" t="s">
        <v>56</v>
      </c>
      <c r="C7" t="s">
        <v>6</v>
      </c>
      <c r="D7" t="s">
        <v>35</v>
      </c>
      <c r="I7" t="s">
        <v>0</v>
      </c>
    </row>
    <row r="8" spans="1:16" x14ac:dyDescent="0.25">
      <c r="B8" t="s">
        <v>37</v>
      </c>
      <c r="C8" t="s">
        <v>423</v>
      </c>
      <c r="D8" t="s">
        <v>424</v>
      </c>
      <c r="E8" t="s">
        <v>425</v>
      </c>
      <c r="F8" t="s">
        <v>124</v>
      </c>
      <c r="G8" t="s">
        <v>40</v>
      </c>
      <c r="I8" t="s">
        <v>37</v>
      </c>
      <c r="J8" t="s">
        <v>423</v>
      </c>
      <c r="K8" t="s">
        <v>424</v>
      </c>
      <c r="L8" t="s">
        <v>124</v>
      </c>
      <c r="M8" t="s">
        <v>40</v>
      </c>
      <c r="N8" s="44" t="s">
        <v>425</v>
      </c>
    </row>
    <row r="9" spans="1:16" x14ac:dyDescent="0.25">
      <c r="A9" s="44" t="s">
        <v>41</v>
      </c>
      <c r="B9" s="40">
        <v>2100000</v>
      </c>
      <c r="C9" s="40">
        <v>5000000</v>
      </c>
      <c r="D9" s="40">
        <v>1071000</v>
      </c>
      <c r="E9" s="27">
        <f>IF(AND(B9&gt;0,C9&gt;0)=TRUE,C9/B9,0)</f>
        <v>2.3809523809523809</v>
      </c>
      <c r="F9" s="27">
        <f t="shared" ref="F9:F15" si="0">IF(AND(B9&gt;0,D9&gt;0)=TRUE,D9/B9,0)</f>
        <v>0.51</v>
      </c>
      <c r="G9" s="5">
        <f t="shared" ref="G9:G15" si="1">IF(AND(C9&gt;0,D9&gt;0)=TRUE,D9/C9,0)</f>
        <v>0.2142</v>
      </c>
      <c r="I9" s="42">
        <v>2000000</v>
      </c>
      <c r="J9" s="20">
        <f>N9*(1+$N$132)*I9*(1+$C$131)</f>
        <v>4761904.7619047621</v>
      </c>
      <c r="K9" s="20">
        <f t="shared" ref="K9:K14" si="2">L9*I9*(1+$C$131)</f>
        <v>1020000</v>
      </c>
      <c r="L9" s="45">
        <v>0.51</v>
      </c>
      <c r="M9" s="28">
        <f t="shared" ref="M9:M14" si="3">IF(AND(J9&gt;0,K9&gt;0)=TRUE,K9/J9,0)</f>
        <v>0.2142</v>
      </c>
      <c r="N9" s="45">
        <f t="shared" ref="N9:N14" si="4">E9</f>
        <v>2.3809523809523809</v>
      </c>
      <c r="P9" t="s">
        <v>125</v>
      </c>
    </row>
    <row r="10" spans="1:16" x14ac:dyDescent="0.25">
      <c r="A10" s="44" t="s">
        <v>42</v>
      </c>
      <c r="B10" s="40">
        <v>2800</v>
      </c>
      <c r="C10" s="40">
        <v>14262</v>
      </c>
      <c r="D10" s="40">
        <v>700</v>
      </c>
      <c r="E10" s="27">
        <f t="shared" ref="E10:E15" si="5">IF(AND(B10&gt;0,C10&gt;0)=TRUE,C10/B10,0)</f>
        <v>5.0935714285714289</v>
      </c>
      <c r="F10" s="27">
        <f t="shared" si="0"/>
        <v>0.25</v>
      </c>
      <c r="G10" s="5">
        <f t="shared" si="1"/>
        <v>4.9081475248913195E-2</v>
      </c>
      <c r="I10" s="42">
        <v>2800</v>
      </c>
      <c r="J10" s="20">
        <f t="shared" ref="J10:J14" si="6">N10*(1+$N$132)*I10*(1+$C$131)</f>
        <v>14262</v>
      </c>
      <c r="K10" s="20">
        <f t="shared" si="2"/>
        <v>700</v>
      </c>
      <c r="L10" s="45">
        <f t="shared" ref="L10:L14" si="7">F10</f>
        <v>0.25</v>
      </c>
      <c r="M10" s="28">
        <f t="shared" si="3"/>
        <v>4.9081475248913195E-2</v>
      </c>
      <c r="N10" s="45">
        <f t="shared" si="4"/>
        <v>5.0935714285714289</v>
      </c>
      <c r="P10" t="s">
        <v>130</v>
      </c>
    </row>
    <row r="11" spans="1:16" x14ac:dyDescent="0.25">
      <c r="A11" s="44" t="s">
        <v>43</v>
      </c>
      <c r="B11" s="40">
        <v>2794</v>
      </c>
      <c r="C11" s="40">
        <v>28322</v>
      </c>
      <c r="D11" s="40">
        <v>1800</v>
      </c>
      <c r="E11" s="27">
        <f t="shared" si="5"/>
        <v>10.136721546170365</v>
      </c>
      <c r="F11" s="27">
        <f t="shared" si="0"/>
        <v>0.64423765211166784</v>
      </c>
      <c r="G11" s="5">
        <f t="shared" si="1"/>
        <v>6.3554833698185154E-2</v>
      </c>
      <c r="I11" s="42">
        <f>B11</f>
        <v>2794</v>
      </c>
      <c r="J11" s="20">
        <f t="shared" si="6"/>
        <v>28322</v>
      </c>
      <c r="K11" s="20">
        <f t="shared" si="2"/>
        <v>1800</v>
      </c>
      <c r="L11" s="45">
        <f t="shared" si="7"/>
        <v>0.64423765211166784</v>
      </c>
      <c r="M11" s="28">
        <f t="shared" si="3"/>
        <v>6.3554833698185154E-2</v>
      </c>
      <c r="N11" s="45">
        <f t="shared" si="4"/>
        <v>10.136721546170365</v>
      </c>
      <c r="P11" t="s">
        <v>131</v>
      </c>
    </row>
    <row r="12" spans="1:16" x14ac:dyDescent="0.25">
      <c r="A12" s="44" t="s">
        <v>44</v>
      </c>
      <c r="B12" s="40">
        <v>500000</v>
      </c>
      <c r="C12" s="40">
        <v>1900000</v>
      </c>
      <c r="D12" s="40">
        <v>400000</v>
      </c>
      <c r="E12" s="27">
        <f t="shared" si="5"/>
        <v>3.8</v>
      </c>
      <c r="F12" s="27">
        <f t="shared" si="0"/>
        <v>0.8</v>
      </c>
      <c r="G12" s="5">
        <f t="shared" si="1"/>
        <v>0.21052631578947367</v>
      </c>
      <c r="I12" s="42">
        <f>B12</f>
        <v>500000</v>
      </c>
      <c r="J12" s="20">
        <f t="shared" si="6"/>
        <v>1900000</v>
      </c>
      <c r="K12" s="20">
        <f t="shared" si="2"/>
        <v>400000</v>
      </c>
      <c r="L12" s="45">
        <f t="shared" si="7"/>
        <v>0.8</v>
      </c>
      <c r="M12" s="28">
        <f t="shared" si="3"/>
        <v>0.21052631578947367</v>
      </c>
      <c r="N12" s="45">
        <f t="shared" si="4"/>
        <v>3.8</v>
      </c>
    </row>
    <row r="13" spans="1:16" x14ac:dyDescent="0.25">
      <c r="A13" s="44" t="s">
        <v>45</v>
      </c>
      <c r="B13" s="20"/>
      <c r="C13" s="20"/>
      <c r="D13" s="20"/>
      <c r="E13" s="27">
        <f t="shared" si="5"/>
        <v>0</v>
      </c>
      <c r="F13" s="27">
        <f t="shared" si="0"/>
        <v>0</v>
      </c>
      <c r="G13" s="5">
        <f t="shared" si="1"/>
        <v>0</v>
      </c>
      <c r="I13" s="42">
        <f>B13</f>
        <v>0</v>
      </c>
      <c r="J13" s="20">
        <f t="shared" si="6"/>
        <v>0</v>
      </c>
      <c r="K13" s="20">
        <f t="shared" si="2"/>
        <v>0</v>
      </c>
      <c r="L13" s="45">
        <f t="shared" si="7"/>
        <v>0</v>
      </c>
      <c r="M13" s="28">
        <f t="shared" si="3"/>
        <v>0</v>
      </c>
      <c r="N13" s="45">
        <f t="shared" si="4"/>
        <v>0</v>
      </c>
    </row>
    <row r="14" spans="1:16" x14ac:dyDescent="0.25">
      <c r="B14" s="20"/>
      <c r="C14" s="20"/>
      <c r="D14" s="20"/>
      <c r="E14" s="27">
        <f t="shared" si="5"/>
        <v>0</v>
      </c>
      <c r="F14" s="27">
        <f t="shared" si="0"/>
        <v>0</v>
      </c>
      <c r="G14" s="5">
        <f t="shared" si="1"/>
        <v>0</v>
      </c>
      <c r="I14" s="43"/>
      <c r="J14" s="20">
        <f t="shared" si="6"/>
        <v>0</v>
      </c>
      <c r="K14" s="20">
        <f t="shared" si="2"/>
        <v>0</v>
      </c>
      <c r="L14" s="45">
        <f t="shared" si="7"/>
        <v>0</v>
      </c>
      <c r="M14" s="28">
        <f t="shared" si="3"/>
        <v>0</v>
      </c>
      <c r="N14" s="45">
        <f t="shared" si="4"/>
        <v>0</v>
      </c>
    </row>
    <row r="15" spans="1:16" x14ac:dyDescent="0.25">
      <c r="A15" t="s">
        <v>123</v>
      </c>
      <c r="B15" s="20"/>
      <c r="C15" s="20">
        <f>SUM(C9:C14)</f>
        <v>6942584</v>
      </c>
      <c r="D15" s="20">
        <f>SUM(D9:D14)</f>
        <v>1473500</v>
      </c>
      <c r="E15" s="28">
        <f t="shared" si="5"/>
        <v>0</v>
      </c>
      <c r="F15" s="28">
        <f t="shared" si="0"/>
        <v>0</v>
      </c>
      <c r="G15" s="5">
        <f t="shared" si="1"/>
        <v>0.21224086017540444</v>
      </c>
      <c r="I15" s="44"/>
      <c r="J15" s="20">
        <f>SUM(J9:J14)</f>
        <v>6704488.7619047621</v>
      </c>
      <c r="K15" s="20">
        <f>SUM(K9:K14)</f>
        <v>1422500</v>
      </c>
      <c r="L15" s="46"/>
      <c r="M15" s="28"/>
      <c r="N15" s="46"/>
    </row>
    <row r="16" spans="1:16" x14ac:dyDescent="0.25">
      <c r="A16" t="s">
        <v>122</v>
      </c>
      <c r="B16" s="20"/>
      <c r="C16" s="20"/>
      <c r="D16" s="20"/>
      <c r="E16" s="28"/>
      <c r="F16" s="28"/>
      <c r="I16" s="44"/>
      <c r="J16" s="20"/>
      <c r="K16" s="20"/>
      <c r="L16" s="46"/>
      <c r="M16" s="28"/>
      <c r="N16" s="46"/>
    </row>
    <row r="17" spans="1:16" x14ac:dyDescent="0.25">
      <c r="A17" s="44" t="s">
        <v>46</v>
      </c>
      <c r="B17" s="40">
        <v>10000</v>
      </c>
      <c r="C17" s="40">
        <v>1884560</v>
      </c>
      <c r="D17" s="40">
        <v>38854</v>
      </c>
      <c r="E17" s="28">
        <f t="shared" ref="E17:E22" si="8">IF(AND(B17&gt;0,C17&gt;0)=TRUE,C17/B17,0)</f>
        <v>188.45599999999999</v>
      </c>
      <c r="F17" s="28">
        <f t="shared" ref="F17:F22" si="9">IF(AND(B17&gt;0,D17&gt;0)=TRUE,D17/B17,0)</f>
        <v>3.8854000000000002</v>
      </c>
      <c r="G17" s="5">
        <f t="shared" ref="G17:G22" si="10">IF(AND(C17&gt;0,D17&gt;0)=TRUE,D17/C17,0)</f>
        <v>2.0617014051025173E-2</v>
      </c>
      <c r="I17" s="42">
        <f t="shared" ref="I17:I22" si="11">B17</f>
        <v>10000</v>
      </c>
      <c r="J17" s="20">
        <f t="shared" ref="J17:J22" si="12">I17*N17</f>
        <v>1884560</v>
      </c>
      <c r="K17" s="20">
        <f t="shared" ref="K17:K22" si="13">L17*I17</f>
        <v>38854</v>
      </c>
      <c r="L17" s="47">
        <f t="shared" ref="L17:L22" si="14">F17</f>
        <v>3.8854000000000002</v>
      </c>
      <c r="M17" s="28">
        <f t="shared" ref="M17:M22" si="15">IF(AND(J17&gt;0,K17&gt;0)=TRUE,K17/J17,0)</f>
        <v>2.0617014051025173E-2</v>
      </c>
      <c r="N17" s="47">
        <f t="shared" ref="N17:N22" si="16">E17</f>
        <v>188.45599999999999</v>
      </c>
      <c r="P17" t="s">
        <v>127</v>
      </c>
    </row>
    <row r="18" spans="1:16" x14ac:dyDescent="0.25">
      <c r="A18" s="44" t="s">
        <v>48</v>
      </c>
      <c r="B18" s="40">
        <v>8158</v>
      </c>
      <c r="C18" s="40">
        <v>2480000</v>
      </c>
      <c r="D18" s="40">
        <v>88000</v>
      </c>
      <c r="E18" s="28">
        <f t="shared" si="8"/>
        <v>303.99607746996816</v>
      </c>
      <c r="F18" s="28">
        <f t="shared" si="9"/>
        <v>10.78695758764403</v>
      </c>
      <c r="G18" s="5">
        <f t="shared" si="10"/>
        <v>3.5483870967741936E-2</v>
      </c>
      <c r="I18" s="42">
        <f t="shared" si="11"/>
        <v>8158</v>
      </c>
      <c r="J18" s="20">
        <f>I18*(1+$C$133)*N18*(1+$C$134)</f>
        <v>2480000</v>
      </c>
      <c r="K18" s="20">
        <f>L18*I18*(1+$C$133)</f>
        <v>88000</v>
      </c>
      <c r="L18" s="47">
        <f t="shared" si="14"/>
        <v>10.78695758764403</v>
      </c>
      <c r="M18" s="28">
        <f t="shared" si="15"/>
        <v>3.5483870967741936E-2</v>
      </c>
      <c r="N18" s="47">
        <f t="shared" si="16"/>
        <v>303.99607746996816</v>
      </c>
    </row>
    <row r="19" spans="1:16" x14ac:dyDescent="0.25">
      <c r="A19" s="44" t="s">
        <v>50</v>
      </c>
      <c r="B19" s="40">
        <v>1200</v>
      </c>
      <c r="C19" s="40">
        <v>463679</v>
      </c>
      <c r="D19" s="40">
        <v>21000</v>
      </c>
      <c r="E19" s="28">
        <f t="shared" si="8"/>
        <v>386.39916666666664</v>
      </c>
      <c r="F19" s="28">
        <f t="shared" si="9"/>
        <v>17.5</v>
      </c>
      <c r="G19" s="5">
        <f t="shared" si="10"/>
        <v>4.5289952747482633E-2</v>
      </c>
      <c r="I19" s="42">
        <f t="shared" si="11"/>
        <v>1200</v>
      </c>
      <c r="J19" s="20">
        <f t="shared" si="12"/>
        <v>463679</v>
      </c>
      <c r="K19" s="20">
        <f t="shared" si="13"/>
        <v>21000</v>
      </c>
      <c r="L19" s="47">
        <f t="shared" si="14"/>
        <v>17.5</v>
      </c>
      <c r="M19" s="28">
        <f t="shared" si="15"/>
        <v>4.5289952747482633E-2</v>
      </c>
      <c r="N19" s="47">
        <f t="shared" si="16"/>
        <v>386.39916666666664</v>
      </c>
    </row>
    <row r="20" spans="1:16" x14ac:dyDescent="0.25">
      <c r="A20" s="44" t="s">
        <v>52</v>
      </c>
      <c r="B20" s="40">
        <v>63327</v>
      </c>
      <c r="C20" s="40">
        <v>186913</v>
      </c>
      <c r="D20" s="40">
        <v>6000</v>
      </c>
      <c r="E20" s="28">
        <f t="shared" si="8"/>
        <v>2.9515530500418463</v>
      </c>
      <c r="F20" s="28">
        <f t="shared" si="9"/>
        <v>9.4746316736936856E-2</v>
      </c>
      <c r="G20" s="5">
        <f t="shared" si="10"/>
        <v>3.2100495952662469E-2</v>
      </c>
      <c r="I20" s="42">
        <f t="shared" si="11"/>
        <v>63327</v>
      </c>
      <c r="J20" s="20">
        <f t="shared" si="12"/>
        <v>186913</v>
      </c>
      <c r="K20" s="20">
        <f t="shared" si="13"/>
        <v>6000</v>
      </c>
      <c r="L20" s="47">
        <f t="shared" si="14"/>
        <v>9.4746316736936856E-2</v>
      </c>
      <c r="M20" s="28">
        <f t="shared" si="15"/>
        <v>3.2100495952662469E-2</v>
      </c>
      <c r="N20" s="47">
        <f t="shared" si="16"/>
        <v>2.9515530500418463</v>
      </c>
    </row>
    <row r="21" spans="1:16" x14ac:dyDescent="0.25">
      <c r="A21" s="44" t="s">
        <v>53</v>
      </c>
      <c r="B21" s="40">
        <v>500000</v>
      </c>
      <c r="C21" s="40">
        <v>1500000</v>
      </c>
      <c r="D21" s="40">
        <v>60000</v>
      </c>
      <c r="E21" s="28">
        <f t="shared" si="8"/>
        <v>3</v>
      </c>
      <c r="F21" s="28">
        <f t="shared" si="9"/>
        <v>0.12</v>
      </c>
      <c r="G21" s="5">
        <f t="shared" si="10"/>
        <v>0.04</v>
      </c>
      <c r="I21" s="42">
        <f t="shared" si="11"/>
        <v>500000</v>
      </c>
      <c r="J21" s="20">
        <f t="shared" si="12"/>
        <v>1500000</v>
      </c>
      <c r="K21" s="20">
        <f t="shared" si="13"/>
        <v>60000</v>
      </c>
      <c r="L21" s="47">
        <f t="shared" si="14"/>
        <v>0.12</v>
      </c>
      <c r="M21" s="28">
        <f t="shared" si="15"/>
        <v>0.04</v>
      </c>
      <c r="N21" s="47">
        <f t="shared" si="16"/>
        <v>3</v>
      </c>
    </row>
    <row r="22" spans="1:16" x14ac:dyDescent="0.25">
      <c r="A22" s="44" t="s">
        <v>54</v>
      </c>
      <c r="B22" s="40">
        <v>2523766</v>
      </c>
      <c r="C22" s="40">
        <v>7408605</v>
      </c>
      <c r="D22" s="40">
        <v>302852</v>
      </c>
      <c r="E22" s="28">
        <f t="shared" si="8"/>
        <v>2.9355356241426502</v>
      </c>
      <c r="F22" s="28">
        <f t="shared" si="9"/>
        <v>0.12000003169865986</v>
      </c>
      <c r="G22" s="5">
        <f t="shared" si="10"/>
        <v>4.0878410982904338E-2</v>
      </c>
      <c r="I22" s="42">
        <f t="shared" si="11"/>
        <v>2523766</v>
      </c>
      <c r="J22" s="20">
        <f t="shared" si="12"/>
        <v>7408605</v>
      </c>
      <c r="K22" s="20">
        <f t="shared" si="13"/>
        <v>302852</v>
      </c>
      <c r="L22" s="47">
        <f t="shared" si="14"/>
        <v>0.12000003169865986</v>
      </c>
      <c r="M22" s="28">
        <f t="shared" si="15"/>
        <v>4.0878410982904338E-2</v>
      </c>
      <c r="N22" s="47">
        <f t="shared" si="16"/>
        <v>2.9355356241426502</v>
      </c>
    </row>
    <row r="23" spans="1:16" x14ac:dyDescent="0.25">
      <c r="A23" s="44" t="s">
        <v>183</v>
      </c>
      <c r="B23" s="6"/>
      <c r="C23" s="40"/>
      <c r="D23" s="40"/>
      <c r="J23" s="20"/>
      <c r="K23" s="20"/>
    </row>
    <row r="24" spans="1:16" x14ac:dyDescent="0.25">
      <c r="A24" s="44" t="s">
        <v>49</v>
      </c>
      <c r="B24" s="6"/>
      <c r="C24" s="40">
        <v>3096301</v>
      </c>
      <c r="D24" s="40">
        <v>300000</v>
      </c>
      <c r="F24" s="28"/>
      <c r="G24" s="5">
        <f>IF(AND(C24&gt;0,D24&gt;0)=TRUE,D24/C24,0)</f>
        <v>9.6889804964052265E-2</v>
      </c>
      <c r="I24" s="2"/>
      <c r="J24" s="40">
        <f>C24</f>
        <v>3096301</v>
      </c>
      <c r="K24" s="20">
        <f>J24*M24</f>
        <v>300000</v>
      </c>
      <c r="L24" s="2"/>
      <c r="M24" s="48">
        <f>G24</f>
        <v>9.6889804964052265E-2</v>
      </c>
      <c r="N24" s="2"/>
      <c r="P24" t="s">
        <v>128</v>
      </c>
    </row>
    <row r="25" spans="1:16" x14ac:dyDescent="0.25">
      <c r="A25" s="44" t="s">
        <v>51</v>
      </c>
      <c r="B25" s="6"/>
      <c r="C25" s="40">
        <v>541548</v>
      </c>
      <c r="D25" s="40">
        <v>50000</v>
      </c>
      <c r="G25" s="5">
        <f>IF(AND(C25&gt;0,D25&gt;0)=TRUE,D25/C25,0)</f>
        <v>9.2327919224150026E-2</v>
      </c>
      <c r="J25" s="40">
        <f>C25</f>
        <v>541548</v>
      </c>
      <c r="K25" s="20">
        <f>J25*M25</f>
        <v>50000</v>
      </c>
      <c r="M25" s="48">
        <f>G25</f>
        <v>9.2327919224150026E-2</v>
      </c>
      <c r="N25" s="2"/>
    </row>
    <row r="26" spans="1:16" x14ac:dyDescent="0.25">
      <c r="A26" s="44" t="s">
        <v>55</v>
      </c>
      <c r="B26" s="6"/>
      <c r="C26" s="40">
        <v>326096</v>
      </c>
      <c r="D26" s="40">
        <v>9000</v>
      </c>
      <c r="G26" s="5">
        <f>IF(AND(C26&gt;0,D26&gt;0)=TRUE,D26/C26,0)</f>
        <v>2.7599234581227615E-2</v>
      </c>
      <c r="J26" s="40">
        <f>C26</f>
        <v>326096</v>
      </c>
      <c r="K26" s="20">
        <f>J26*M26</f>
        <v>9000</v>
      </c>
      <c r="M26" s="48">
        <f>G26</f>
        <v>2.7599234581227615E-2</v>
      </c>
      <c r="N26" s="2"/>
    </row>
    <row r="27" spans="1:16" x14ac:dyDescent="0.25">
      <c r="A27" s="44" t="s">
        <v>126</v>
      </c>
      <c r="B27" s="6"/>
      <c r="C27" s="40">
        <v>577909</v>
      </c>
      <c r="D27" s="40">
        <v>50000</v>
      </c>
      <c r="G27" s="5">
        <f>IF(AND(C27&gt;0,D27&gt;0)=TRUE,D27/C27,0)</f>
        <v>8.6518811785246466E-2</v>
      </c>
      <c r="J27" s="40">
        <f>C27</f>
        <v>577909</v>
      </c>
      <c r="K27" s="20">
        <f>J27*M27</f>
        <v>50000</v>
      </c>
      <c r="M27" s="48">
        <f>G27</f>
        <v>8.6518811785246466E-2</v>
      </c>
      <c r="N27" s="2"/>
    </row>
    <row r="28" spans="1:16" x14ac:dyDescent="0.25">
      <c r="A28" s="44" t="s">
        <v>47</v>
      </c>
      <c r="B28" s="6"/>
      <c r="C28" s="40">
        <v>797367</v>
      </c>
      <c r="D28" s="40">
        <v>80000</v>
      </c>
      <c r="G28" s="5">
        <f>IF(AND(C28&gt;0,D28&gt;0)=TRUE,D28/C28,0)</f>
        <v>0.1003302118096184</v>
      </c>
      <c r="J28" s="40">
        <f>C28</f>
        <v>797367</v>
      </c>
      <c r="K28" s="20">
        <f>J28*M28</f>
        <v>80000</v>
      </c>
      <c r="M28" s="48">
        <f>G28</f>
        <v>0.1003302118096184</v>
      </c>
      <c r="N28" s="2"/>
    </row>
    <row r="29" spans="1:16" x14ac:dyDescent="0.25">
      <c r="A29" s="44" t="s">
        <v>184</v>
      </c>
      <c r="B29" s="20"/>
      <c r="C29" s="40"/>
      <c r="D29" s="40"/>
      <c r="J29" s="20"/>
      <c r="K29" s="20"/>
    </row>
    <row r="30" spans="1:16" x14ac:dyDescent="0.25">
      <c r="A30" s="44" t="s">
        <v>185</v>
      </c>
      <c r="B30" s="20"/>
      <c r="C30" s="40"/>
      <c r="D30" s="40"/>
      <c r="J30" s="20"/>
      <c r="K30" s="20"/>
    </row>
    <row r="31" spans="1:16" x14ac:dyDescent="0.25">
      <c r="A31" t="s">
        <v>182</v>
      </c>
      <c r="B31" s="20" t="s">
        <v>6</v>
      </c>
      <c r="C31" s="20">
        <f>SUM(C17:C29)</f>
        <v>19262978</v>
      </c>
      <c r="D31" s="20">
        <f>SUM(D17:D29)</f>
        <v>1005706</v>
      </c>
      <c r="E31" t="s">
        <v>6</v>
      </c>
      <c r="F31" t="s">
        <v>6</v>
      </c>
      <c r="G31" s="5">
        <f>IF(AND(C31&gt;0,D31&gt;0)=TRUE,D31/C31,0)</f>
        <v>5.2209268992572173E-2</v>
      </c>
      <c r="J31" s="20">
        <f>SUM(J17:J29)</f>
        <v>19262978</v>
      </c>
      <c r="K31" s="20">
        <f>SUM(K17:K29)</f>
        <v>1005706</v>
      </c>
    </row>
    <row r="32" spans="1:16" x14ac:dyDescent="0.25">
      <c r="B32" s="20"/>
      <c r="C32" s="20"/>
      <c r="D32" s="20"/>
      <c r="G32" s="5"/>
      <c r="J32" s="20"/>
      <c r="K32" s="20"/>
    </row>
    <row r="33" spans="1:11" x14ac:dyDescent="0.25">
      <c r="A33" t="s">
        <v>270</v>
      </c>
      <c r="B33" s="20"/>
      <c r="C33" s="20">
        <f>C15+C31</f>
        <v>26205562</v>
      </c>
      <c r="D33" s="20">
        <f>D15+D31</f>
        <v>2479206</v>
      </c>
      <c r="G33" s="5"/>
      <c r="J33" s="20">
        <f>J15+J31</f>
        <v>25967466.761904761</v>
      </c>
      <c r="K33" s="20">
        <f>K15+K31</f>
        <v>2428206</v>
      </c>
    </row>
    <row r="34" spans="1:11" x14ac:dyDescent="0.25">
      <c r="B34" s="20"/>
      <c r="C34" s="20"/>
      <c r="D34" s="20"/>
    </row>
    <row r="35" spans="1:11" x14ac:dyDescent="0.25">
      <c r="A35" t="s">
        <v>61</v>
      </c>
      <c r="C35" t="s">
        <v>35</v>
      </c>
      <c r="D35" t="s">
        <v>274</v>
      </c>
      <c r="E35" t="s">
        <v>129</v>
      </c>
      <c r="F35" t="s">
        <v>0</v>
      </c>
    </row>
    <row r="36" spans="1:11" x14ac:dyDescent="0.25">
      <c r="A36" s="44" t="s">
        <v>151</v>
      </c>
      <c r="C36" s="40"/>
      <c r="D36" s="41">
        <v>1</v>
      </c>
      <c r="E36" s="20">
        <f>IF(C36&gt;0,C36*D36,0)</f>
        <v>0</v>
      </c>
      <c r="F36" s="40"/>
    </row>
    <row r="37" spans="1:11" x14ac:dyDescent="0.25">
      <c r="A37" s="44" t="s">
        <v>62</v>
      </c>
      <c r="C37" s="40">
        <v>96360</v>
      </c>
      <c r="D37" s="41">
        <v>1</v>
      </c>
      <c r="E37" s="20">
        <f>IF(C37&gt;0,C37*D37,0)</f>
        <v>96360</v>
      </c>
      <c r="F37" s="40">
        <v>96360</v>
      </c>
    </row>
    <row r="38" spans="1:11" x14ac:dyDescent="0.25">
      <c r="A38" s="44" t="s">
        <v>63</v>
      </c>
      <c r="C38" s="40">
        <v>137372</v>
      </c>
      <c r="D38" s="41">
        <v>1</v>
      </c>
      <c r="E38" s="20">
        <f t="shared" ref="E38:E61" si="17">IF(C38&gt;0,C38*D38,0)</f>
        <v>137372</v>
      </c>
      <c r="F38" s="40">
        <v>137372</v>
      </c>
    </row>
    <row r="39" spans="1:11" x14ac:dyDescent="0.25">
      <c r="A39" s="44" t="s">
        <v>64</v>
      </c>
      <c r="C39" s="40">
        <v>6478</v>
      </c>
      <c r="D39" s="41">
        <v>1</v>
      </c>
      <c r="E39" s="20">
        <f t="shared" si="17"/>
        <v>6478</v>
      </c>
      <c r="F39" s="40">
        <v>6478</v>
      </c>
    </row>
    <row r="40" spans="1:11" x14ac:dyDescent="0.25">
      <c r="A40" s="44" t="s">
        <v>65</v>
      </c>
      <c r="C40" s="40">
        <v>900000</v>
      </c>
      <c r="D40" s="41">
        <v>1</v>
      </c>
      <c r="E40" s="20">
        <f t="shared" si="17"/>
        <v>900000</v>
      </c>
      <c r="F40" s="40">
        <v>900000</v>
      </c>
    </row>
    <row r="41" spans="1:11" x14ac:dyDescent="0.25">
      <c r="A41" s="44" t="s">
        <v>66</v>
      </c>
      <c r="C41" s="40">
        <v>417528</v>
      </c>
      <c r="D41" s="41">
        <v>1</v>
      </c>
      <c r="E41" s="20">
        <f t="shared" si="17"/>
        <v>417528</v>
      </c>
      <c r="F41" s="40">
        <v>417528</v>
      </c>
    </row>
    <row r="42" spans="1:11" x14ac:dyDescent="0.25">
      <c r="A42" s="44" t="s">
        <v>67</v>
      </c>
      <c r="C42" s="40">
        <v>-92639</v>
      </c>
      <c r="D42" s="41">
        <v>1</v>
      </c>
      <c r="E42" s="20">
        <f>IF(C42&lt;&gt;0,C42*D42,0)</f>
        <v>-92639</v>
      </c>
      <c r="F42" s="40">
        <v>-92639</v>
      </c>
    </row>
    <row r="43" spans="1:11" x14ac:dyDescent="0.25">
      <c r="A43" s="44" t="s">
        <v>68</v>
      </c>
      <c r="C43" s="40">
        <v>8952</v>
      </c>
      <c r="D43" s="41">
        <v>1</v>
      </c>
      <c r="E43" s="20">
        <f t="shared" si="17"/>
        <v>8952</v>
      </c>
      <c r="F43" s="40">
        <v>8952</v>
      </c>
    </row>
    <row r="44" spans="1:11" x14ac:dyDescent="0.25">
      <c r="A44" s="44" t="s">
        <v>69</v>
      </c>
      <c r="C44" s="40">
        <v>28579</v>
      </c>
      <c r="D44" s="41">
        <v>1</v>
      </c>
      <c r="E44" s="20">
        <f t="shared" si="17"/>
        <v>28579</v>
      </c>
      <c r="F44" s="40">
        <v>28579</v>
      </c>
    </row>
    <row r="45" spans="1:11" x14ac:dyDescent="0.25">
      <c r="A45" s="44" t="s">
        <v>70</v>
      </c>
      <c r="C45" s="40">
        <v>1292</v>
      </c>
      <c r="D45" s="41">
        <v>1</v>
      </c>
      <c r="E45" s="20">
        <f t="shared" si="17"/>
        <v>1292</v>
      </c>
      <c r="F45" s="40">
        <v>1292</v>
      </c>
    </row>
    <row r="46" spans="1:11" x14ac:dyDescent="0.25">
      <c r="A46" s="44" t="s">
        <v>71</v>
      </c>
      <c r="C46" s="40">
        <v>104228</v>
      </c>
      <c r="D46" s="41">
        <v>1</v>
      </c>
      <c r="E46" s="20">
        <f t="shared" si="17"/>
        <v>104228</v>
      </c>
      <c r="F46" s="40">
        <v>104228</v>
      </c>
    </row>
    <row r="47" spans="1:11" x14ac:dyDescent="0.25">
      <c r="A47" s="44" t="s">
        <v>72</v>
      </c>
      <c r="C47" s="40">
        <v>48246</v>
      </c>
      <c r="D47" s="41">
        <v>1</v>
      </c>
      <c r="E47" s="20">
        <f t="shared" si="17"/>
        <v>48246</v>
      </c>
      <c r="F47" s="40">
        <v>48246</v>
      </c>
    </row>
    <row r="48" spans="1:11" x14ac:dyDescent="0.25">
      <c r="A48" s="44" t="s">
        <v>73</v>
      </c>
      <c r="C48" s="40">
        <v>27994</v>
      </c>
      <c r="D48" s="41">
        <v>1</v>
      </c>
      <c r="E48" s="20">
        <f t="shared" si="17"/>
        <v>27994</v>
      </c>
      <c r="F48" s="40">
        <v>27994</v>
      </c>
    </row>
    <row r="49" spans="1:6" x14ac:dyDescent="0.25">
      <c r="A49" s="44" t="s">
        <v>74</v>
      </c>
      <c r="C49" s="40">
        <v>1128741</v>
      </c>
      <c r="D49" s="41">
        <v>1</v>
      </c>
      <c r="E49" s="20">
        <f t="shared" si="17"/>
        <v>1128741</v>
      </c>
      <c r="F49" s="40">
        <v>1128741</v>
      </c>
    </row>
    <row r="50" spans="1:6" x14ac:dyDescent="0.25">
      <c r="A50" s="44" t="s">
        <v>75</v>
      </c>
      <c r="C50" s="40">
        <v>40173</v>
      </c>
      <c r="D50" s="41">
        <v>1</v>
      </c>
      <c r="E50" s="20">
        <f t="shared" si="17"/>
        <v>40173</v>
      </c>
      <c r="F50" s="40">
        <v>40173</v>
      </c>
    </row>
    <row r="51" spans="1:6" x14ac:dyDescent="0.25">
      <c r="A51" s="44" t="s">
        <v>76</v>
      </c>
      <c r="C51" s="40">
        <v>810121</v>
      </c>
      <c r="D51" s="41">
        <v>1</v>
      </c>
      <c r="E51" s="20">
        <f t="shared" si="17"/>
        <v>810121</v>
      </c>
      <c r="F51" s="40">
        <v>810121</v>
      </c>
    </row>
    <row r="52" spans="1:6" x14ac:dyDescent="0.25">
      <c r="A52" s="44" t="s">
        <v>77</v>
      </c>
      <c r="C52" s="40"/>
      <c r="D52" s="41">
        <v>1</v>
      </c>
      <c r="E52" s="20">
        <f t="shared" si="17"/>
        <v>0</v>
      </c>
      <c r="F52" s="40">
        <v>0</v>
      </c>
    </row>
    <row r="53" spans="1:6" x14ac:dyDescent="0.25">
      <c r="A53" s="44" t="s">
        <v>78</v>
      </c>
      <c r="C53" s="40">
        <v>102470</v>
      </c>
      <c r="D53" s="41">
        <v>1</v>
      </c>
      <c r="E53" s="20">
        <f t="shared" si="17"/>
        <v>102470</v>
      </c>
      <c r="F53" s="40">
        <v>102470</v>
      </c>
    </row>
    <row r="54" spans="1:6" x14ac:dyDescent="0.25">
      <c r="A54" s="44" t="s">
        <v>79</v>
      </c>
      <c r="C54" s="40">
        <v>175806</v>
      </c>
      <c r="D54" s="41">
        <v>1</v>
      </c>
      <c r="E54" s="20">
        <f t="shared" si="17"/>
        <v>175806</v>
      </c>
      <c r="F54" s="40">
        <v>175806</v>
      </c>
    </row>
    <row r="55" spans="1:6" x14ac:dyDescent="0.25">
      <c r="A55" s="44" t="s">
        <v>80</v>
      </c>
      <c r="C55" s="40">
        <v>9350</v>
      </c>
      <c r="D55" s="41">
        <v>1</v>
      </c>
      <c r="E55" s="20">
        <f t="shared" si="17"/>
        <v>9350</v>
      </c>
      <c r="F55" s="40">
        <v>9350</v>
      </c>
    </row>
    <row r="56" spans="1:6" x14ac:dyDescent="0.25">
      <c r="A56" s="44" t="s">
        <v>81</v>
      </c>
      <c r="C56" s="40">
        <v>29742</v>
      </c>
      <c r="D56" s="41">
        <v>1</v>
      </c>
      <c r="E56" s="20">
        <f t="shared" si="17"/>
        <v>29742</v>
      </c>
      <c r="F56" s="40">
        <v>29742</v>
      </c>
    </row>
    <row r="57" spans="1:6" x14ac:dyDescent="0.25">
      <c r="A57" s="44" t="s">
        <v>152</v>
      </c>
      <c r="C57" s="40"/>
      <c r="D57" s="41">
        <v>1</v>
      </c>
      <c r="E57" s="20">
        <f t="shared" si="17"/>
        <v>0</v>
      </c>
      <c r="F57" s="40">
        <v>0</v>
      </c>
    </row>
    <row r="58" spans="1:6" x14ac:dyDescent="0.25">
      <c r="A58" s="44" t="s">
        <v>153</v>
      </c>
      <c r="B58" t="s">
        <v>6</v>
      </c>
      <c r="C58" s="40"/>
      <c r="D58" s="41">
        <v>1</v>
      </c>
      <c r="E58" s="20">
        <f t="shared" si="17"/>
        <v>0</v>
      </c>
      <c r="F58" s="40">
        <v>0</v>
      </c>
    </row>
    <row r="59" spans="1:6" x14ac:dyDescent="0.25">
      <c r="A59" s="44" t="s">
        <v>154</v>
      </c>
      <c r="C59" s="40"/>
      <c r="D59" s="41">
        <v>1</v>
      </c>
      <c r="E59" s="20">
        <f t="shared" si="17"/>
        <v>0</v>
      </c>
      <c r="F59" s="40">
        <v>0</v>
      </c>
    </row>
    <row r="60" spans="1:6" x14ac:dyDescent="0.25">
      <c r="A60" s="44" t="s">
        <v>155</v>
      </c>
      <c r="C60" s="40"/>
      <c r="D60" s="41">
        <v>1</v>
      </c>
      <c r="E60" s="20">
        <f t="shared" si="17"/>
        <v>0</v>
      </c>
      <c r="F60" s="40">
        <v>0</v>
      </c>
    </row>
    <row r="61" spans="1:6" x14ac:dyDescent="0.25">
      <c r="A61" s="44" t="s">
        <v>156</v>
      </c>
      <c r="C61" s="40"/>
      <c r="D61" s="41">
        <v>1</v>
      </c>
      <c r="E61" s="20">
        <f t="shared" si="17"/>
        <v>0</v>
      </c>
      <c r="F61" s="40">
        <v>0</v>
      </c>
    </row>
    <row r="62" spans="1:6" x14ac:dyDescent="0.25">
      <c r="A62" t="s">
        <v>82</v>
      </c>
      <c r="C62" s="20">
        <f>SUM(C37:C61)</f>
        <v>3980793</v>
      </c>
      <c r="E62" s="20"/>
      <c r="F62" s="20">
        <f>SUM(F37:F61)</f>
        <v>3980793</v>
      </c>
    </row>
    <row r="63" spans="1:6" x14ac:dyDescent="0.25">
      <c r="C63" s="20"/>
      <c r="E63" s="20"/>
      <c r="F63" s="20"/>
    </row>
    <row r="64" spans="1:6" x14ac:dyDescent="0.25">
      <c r="A64" t="s">
        <v>178</v>
      </c>
      <c r="C64" s="20">
        <f>D15+D31+C62</f>
        <v>6459999</v>
      </c>
      <c r="E64" s="20"/>
      <c r="F64" s="20">
        <f>(K33+F62)</f>
        <v>6408999</v>
      </c>
    </row>
    <row r="65" spans="1:7" x14ac:dyDescent="0.25">
      <c r="F65" s="20"/>
    </row>
    <row r="66" spans="1:7" x14ac:dyDescent="0.25">
      <c r="F66" s="20"/>
    </row>
    <row r="67" spans="1:7" x14ac:dyDescent="0.25">
      <c r="B67" t="s">
        <v>273</v>
      </c>
      <c r="F67" s="20"/>
    </row>
    <row r="68" spans="1:7" x14ac:dyDescent="0.25">
      <c r="B68" s="20"/>
      <c r="F68" s="20"/>
    </row>
    <row r="69" spans="1:7" x14ac:dyDescent="0.25">
      <c r="B69" s="20"/>
      <c r="F69" s="20"/>
    </row>
    <row r="70" spans="1:7" x14ac:dyDescent="0.25">
      <c r="A70" t="s">
        <v>6</v>
      </c>
      <c r="B70" s="20" t="s">
        <v>35</v>
      </c>
      <c r="C70" t="s">
        <v>83</v>
      </c>
      <c r="D70" t="s">
        <v>274</v>
      </c>
      <c r="E70" t="s">
        <v>129</v>
      </c>
      <c r="F70" t="s">
        <v>0</v>
      </c>
      <c r="G70" t="s">
        <v>83</v>
      </c>
    </row>
    <row r="71" spans="1:7" x14ac:dyDescent="0.25">
      <c r="A71" t="s">
        <v>84</v>
      </c>
      <c r="B71" s="40">
        <v>1378438</v>
      </c>
      <c r="C71" s="10">
        <f t="shared" ref="C71:C78" si="18">IF(B71&gt;0,B71/C$64,0)</f>
        <v>0.21338052838707869</v>
      </c>
      <c r="D71" s="23">
        <v>1.05</v>
      </c>
      <c r="E71" s="20">
        <f>B71*D71</f>
        <v>1447359.9000000001</v>
      </c>
      <c r="F71" s="40">
        <v>1447359.9000000001</v>
      </c>
      <c r="G71" s="10">
        <f t="shared" ref="G71:G78" si="19">IF(F71&gt;0,F71/F$64,0)</f>
        <v>0.22583244278864767</v>
      </c>
    </row>
    <row r="72" spans="1:7" x14ac:dyDescent="0.25">
      <c r="A72" t="s">
        <v>85</v>
      </c>
      <c r="B72" s="40">
        <v>186520</v>
      </c>
      <c r="C72" s="10">
        <f t="shared" si="18"/>
        <v>2.8873069484995278E-2</v>
      </c>
      <c r="D72" s="23">
        <v>1.05</v>
      </c>
      <c r="E72" s="20">
        <f t="shared" ref="E72:E77" si="20">B72*D72</f>
        <v>195846</v>
      </c>
      <c r="F72" s="40">
        <v>195846</v>
      </c>
      <c r="G72" s="10">
        <f t="shared" si="19"/>
        <v>3.055797012918866E-2</v>
      </c>
    </row>
    <row r="73" spans="1:7" x14ac:dyDescent="0.25">
      <c r="A73" t="s">
        <v>86</v>
      </c>
      <c r="B73" s="40">
        <v>268523</v>
      </c>
      <c r="C73" s="10">
        <f t="shared" si="18"/>
        <v>4.1567034298302524E-2</v>
      </c>
      <c r="D73" s="23">
        <v>1.05</v>
      </c>
      <c r="E73" s="20">
        <f t="shared" si="20"/>
        <v>281949.15000000002</v>
      </c>
      <c r="F73" s="40">
        <v>281949.15000000002</v>
      </c>
      <c r="G73" s="10">
        <f t="shared" si="19"/>
        <v>4.3992696831439672E-2</v>
      </c>
    </row>
    <row r="74" spans="1:7" x14ac:dyDescent="0.25">
      <c r="A74" t="s">
        <v>87</v>
      </c>
      <c r="B74" s="40">
        <v>181304</v>
      </c>
      <c r="C74" s="10">
        <f t="shared" si="18"/>
        <v>2.8065639019448765E-2</v>
      </c>
      <c r="D74" s="23">
        <v>1.05</v>
      </c>
      <c r="E74" s="20">
        <f t="shared" si="20"/>
        <v>190369.2</v>
      </c>
      <c r="F74" s="40">
        <v>190369.2</v>
      </c>
      <c r="G74" s="10">
        <f t="shared" si="19"/>
        <v>2.9703421704387847E-2</v>
      </c>
    </row>
    <row r="75" spans="1:7" x14ac:dyDescent="0.25">
      <c r="A75" t="s">
        <v>88</v>
      </c>
      <c r="B75" s="40">
        <v>161021</v>
      </c>
      <c r="C75" s="10">
        <f t="shared" si="18"/>
        <v>2.4925855251680378E-2</v>
      </c>
      <c r="D75" s="23">
        <v>1.05</v>
      </c>
      <c r="E75" s="20">
        <f t="shared" si="20"/>
        <v>169072.05000000002</v>
      </c>
      <c r="F75" s="40">
        <v>169072.05000000002</v>
      </c>
      <c r="G75" s="10">
        <f t="shared" si="19"/>
        <v>2.638041447658207E-2</v>
      </c>
    </row>
    <row r="76" spans="1:7" x14ac:dyDescent="0.25">
      <c r="A76" t="s">
        <v>89</v>
      </c>
      <c r="B76" s="40">
        <v>54106</v>
      </c>
      <c r="C76" s="10">
        <f t="shared" si="18"/>
        <v>8.3755430921893335E-3</v>
      </c>
      <c r="D76" s="23">
        <v>1.05</v>
      </c>
      <c r="E76" s="20">
        <f t="shared" si="20"/>
        <v>56811.3</v>
      </c>
      <c r="F76" s="40">
        <v>56811.3</v>
      </c>
      <c r="G76" s="10">
        <f t="shared" si="19"/>
        <v>8.864301585941892E-3</v>
      </c>
    </row>
    <row r="77" spans="1:7" x14ac:dyDescent="0.25">
      <c r="A77" t="s">
        <v>168</v>
      </c>
      <c r="B77" s="40"/>
      <c r="C77" s="10">
        <f t="shared" si="18"/>
        <v>0</v>
      </c>
      <c r="D77" s="23">
        <v>1</v>
      </c>
      <c r="E77" s="20">
        <f t="shared" si="20"/>
        <v>0</v>
      </c>
      <c r="F77" s="40"/>
      <c r="G77" s="10">
        <f t="shared" si="19"/>
        <v>0</v>
      </c>
    </row>
    <row r="78" spans="1:7" x14ac:dyDescent="0.25">
      <c r="A78" t="s">
        <v>90</v>
      </c>
      <c r="B78" s="20">
        <f>SUM(B71:B77)</f>
        <v>2229912</v>
      </c>
      <c r="C78" s="10">
        <f t="shared" si="18"/>
        <v>0.34518766953369495</v>
      </c>
      <c r="F78" s="20">
        <f>SUM(F71:F77)</f>
        <v>2341407.6</v>
      </c>
      <c r="G78" s="10">
        <f t="shared" si="19"/>
        <v>0.36533124751618778</v>
      </c>
    </row>
    <row r="79" spans="1:7" x14ac:dyDescent="0.25">
      <c r="B79" s="20"/>
      <c r="C79" s="11" t="s">
        <v>6</v>
      </c>
      <c r="F79" s="20"/>
      <c r="G79" s="10"/>
    </row>
    <row r="80" spans="1:7" x14ac:dyDescent="0.25">
      <c r="A80" s="44" t="s">
        <v>91</v>
      </c>
      <c r="B80" s="40">
        <v>590387</v>
      </c>
      <c r="C80" s="10">
        <f t="shared" ref="C80:C85" si="21">IF(B80&gt;0,B80/C$64,0)</f>
        <v>9.1391190617831367E-2</v>
      </c>
      <c r="D80" s="23">
        <v>1</v>
      </c>
      <c r="E80" s="20">
        <f>B80*D80</f>
        <v>590387</v>
      </c>
      <c r="F80" s="40">
        <v>590387</v>
      </c>
      <c r="G80" s="10">
        <f t="shared" ref="G80:G85" si="22">IF(F80&gt;0,F80/F$64,0)</f>
        <v>9.211844158502755E-2</v>
      </c>
    </row>
    <row r="81" spans="1:7" x14ac:dyDescent="0.25">
      <c r="A81" s="44" t="s">
        <v>72</v>
      </c>
      <c r="B81" s="40">
        <v>31508</v>
      </c>
      <c r="C81" s="10">
        <f t="shared" si="21"/>
        <v>4.8774001358204543E-3</v>
      </c>
      <c r="D81" s="23">
        <v>1.5</v>
      </c>
      <c r="E81" s="20">
        <f>B81*D81</f>
        <v>47262</v>
      </c>
      <c r="F81" s="40">
        <v>31508</v>
      </c>
      <c r="G81" s="10">
        <f t="shared" si="22"/>
        <v>4.9162123445486575E-3</v>
      </c>
    </row>
    <row r="82" spans="1:7" x14ac:dyDescent="0.25">
      <c r="A82" s="44" t="s">
        <v>92</v>
      </c>
      <c r="B82" s="40">
        <v>118039</v>
      </c>
      <c r="C82" s="10">
        <f t="shared" si="21"/>
        <v>1.8272293850200287E-2</v>
      </c>
      <c r="D82" s="23">
        <v>1</v>
      </c>
      <c r="E82" s="20">
        <f>B82*D82</f>
        <v>118039</v>
      </c>
      <c r="F82" s="40">
        <v>118039</v>
      </c>
      <c r="G82" s="10">
        <f t="shared" si="22"/>
        <v>1.841769674172207E-2</v>
      </c>
    </row>
    <row r="83" spans="1:7" x14ac:dyDescent="0.25">
      <c r="A83" s="44" t="s">
        <v>93</v>
      </c>
      <c r="B83" s="40">
        <v>207676</v>
      </c>
      <c r="C83" s="10">
        <f t="shared" si="21"/>
        <v>3.2147992592568515E-2</v>
      </c>
      <c r="D83" s="23">
        <v>1</v>
      </c>
      <c r="E83" s="20">
        <f>B83*D83</f>
        <v>207676</v>
      </c>
      <c r="F83" s="40">
        <v>207676</v>
      </c>
      <c r="G83" s="10">
        <f t="shared" si="22"/>
        <v>3.2403812202186334E-2</v>
      </c>
    </row>
    <row r="84" spans="1:7" x14ac:dyDescent="0.25">
      <c r="A84" s="44" t="s">
        <v>169</v>
      </c>
      <c r="B84" s="49"/>
      <c r="C84" s="10">
        <f t="shared" si="21"/>
        <v>0</v>
      </c>
      <c r="D84" s="23">
        <v>1</v>
      </c>
      <c r="E84" s="20">
        <f>B84*D84</f>
        <v>0</v>
      </c>
      <c r="F84" s="40">
        <v>0</v>
      </c>
      <c r="G84" s="10">
        <f t="shared" si="22"/>
        <v>0</v>
      </c>
    </row>
    <row r="85" spans="1:7" x14ac:dyDescent="0.25">
      <c r="A85" t="s">
        <v>94</v>
      </c>
      <c r="B85" s="20">
        <f>SUM(B80:B83)</f>
        <v>947610</v>
      </c>
      <c r="C85" s="10">
        <f t="shared" si="21"/>
        <v>0.14668887719642063</v>
      </c>
      <c r="F85" s="20">
        <f>SUM(F80:F83)</f>
        <v>947610</v>
      </c>
      <c r="G85" s="10">
        <f t="shared" si="22"/>
        <v>0.1478561628734846</v>
      </c>
    </row>
    <row r="86" spans="1:7" x14ac:dyDescent="0.25">
      <c r="B86" s="20"/>
      <c r="C86" s="10"/>
      <c r="G86" s="10"/>
    </row>
    <row r="87" spans="1:7" x14ac:dyDescent="0.25">
      <c r="A87" s="44" t="s">
        <v>95</v>
      </c>
      <c r="B87" s="40">
        <v>9025</v>
      </c>
      <c r="C87" s="10">
        <f t="shared" ref="C87:C120" si="23">IF(B87&gt;0,B87/C$64,0)</f>
        <v>1.3970590397924211E-3</v>
      </c>
      <c r="D87" s="23">
        <v>1</v>
      </c>
      <c r="E87" s="20">
        <f t="shared" ref="E87:E119" si="24">B87*D87</f>
        <v>9025</v>
      </c>
      <c r="F87" s="40">
        <v>9025</v>
      </c>
      <c r="G87" s="10">
        <f t="shared" ref="G87:G120" si="25">IF(F87&gt;0,F87/F$64,0)</f>
        <v>1.4081762222150449E-3</v>
      </c>
    </row>
    <row r="88" spans="1:7" x14ac:dyDescent="0.25">
      <c r="A88" s="44" t="s">
        <v>96</v>
      </c>
      <c r="B88" s="40">
        <v>8986</v>
      </c>
      <c r="C88" s="10">
        <f t="shared" si="23"/>
        <v>1.3910218871550908E-3</v>
      </c>
      <c r="D88" s="23">
        <v>1</v>
      </c>
      <c r="E88" s="20">
        <f t="shared" si="24"/>
        <v>8986</v>
      </c>
      <c r="F88" s="40">
        <v>8986</v>
      </c>
      <c r="G88" s="10">
        <f t="shared" si="25"/>
        <v>1.4020910285677997E-3</v>
      </c>
    </row>
    <row r="89" spans="1:7" x14ac:dyDescent="0.25">
      <c r="A89" s="44" t="s">
        <v>97</v>
      </c>
      <c r="B89" s="40">
        <v>371767</v>
      </c>
      <c r="C89" s="10">
        <f t="shared" si="23"/>
        <v>5.7549080115956677E-2</v>
      </c>
      <c r="D89" s="23">
        <v>1</v>
      </c>
      <c r="E89" s="20">
        <f t="shared" si="24"/>
        <v>371767</v>
      </c>
      <c r="F89" s="40">
        <v>371767</v>
      </c>
      <c r="G89" s="10">
        <f t="shared" si="25"/>
        <v>5.8007030427060451E-2</v>
      </c>
    </row>
    <row r="90" spans="1:7" x14ac:dyDescent="0.25">
      <c r="A90" s="44" t="s">
        <v>98</v>
      </c>
      <c r="B90" s="40">
        <v>26815</v>
      </c>
      <c r="C90" s="10">
        <f t="shared" si="23"/>
        <v>4.1509294351283954E-3</v>
      </c>
      <c r="D90" s="23">
        <v>1</v>
      </c>
      <c r="E90" s="20">
        <f t="shared" si="24"/>
        <v>26815</v>
      </c>
      <c r="F90" s="40">
        <v>26815</v>
      </c>
      <c r="G90" s="10">
        <f t="shared" si="25"/>
        <v>4.1839607089968339E-3</v>
      </c>
    </row>
    <row r="91" spans="1:7" x14ac:dyDescent="0.25">
      <c r="A91" s="44" t="s">
        <v>99</v>
      </c>
      <c r="B91" s="40">
        <v>1026843</v>
      </c>
      <c r="C91" s="10">
        <f t="shared" si="23"/>
        <v>0.15895404937369184</v>
      </c>
      <c r="D91" s="23">
        <v>1</v>
      </c>
      <c r="E91" s="20">
        <f t="shared" si="24"/>
        <v>1026843</v>
      </c>
      <c r="F91" s="40">
        <v>1000000</v>
      </c>
      <c r="G91" s="10">
        <f t="shared" si="25"/>
        <v>0.15603060633961716</v>
      </c>
    </row>
    <row r="92" spans="1:7" x14ac:dyDescent="0.25">
      <c r="A92" s="44" t="s">
        <v>100</v>
      </c>
      <c r="B92" s="40">
        <v>16525</v>
      </c>
      <c r="C92" s="10">
        <f t="shared" si="23"/>
        <v>2.5580499315866769E-3</v>
      </c>
      <c r="D92" s="23">
        <v>1</v>
      </c>
      <c r="E92" s="20">
        <f t="shared" si="24"/>
        <v>16525</v>
      </c>
      <c r="F92" s="40">
        <v>22800</v>
      </c>
      <c r="G92" s="10">
        <f t="shared" si="25"/>
        <v>3.5574978245432711E-3</v>
      </c>
    </row>
    <row r="93" spans="1:7" x14ac:dyDescent="0.25">
      <c r="A93" s="44" t="s">
        <v>101</v>
      </c>
      <c r="B93" s="40">
        <v>432930</v>
      </c>
      <c r="C93" s="10">
        <f t="shared" si="23"/>
        <v>6.701703823793162E-2</v>
      </c>
      <c r="D93" s="23">
        <v>1</v>
      </c>
      <c r="E93" s="20">
        <f t="shared" si="24"/>
        <v>432930</v>
      </c>
      <c r="F93" s="40">
        <v>425000</v>
      </c>
      <c r="G93" s="10">
        <f t="shared" si="25"/>
        <v>6.6313007694337289E-2</v>
      </c>
    </row>
    <row r="94" spans="1:7" x14ac:dyDescent="0.25">
      <c r="A94" s="44" t="s">
        <v>170</v>
      </c>
      <c r="B94" s="40"/>
      <c r="C94" s="10">
        <f t="shared" si="23"/>
        <v>0</v>
      </c>
      <c r="D94" s="23">
        <v>1</v>
      </c>
      <c r="E94" s="20">
        <f t="shared" si="24"/>
        <v>0</v>
      </c>
      <c r="F94" s="40"/>
      <c r="G94" s="10">
        <f t="shared" si="25"/>
        <v>0</v>
      </c>
    </row>
    <row r="95" spans="1:7" x14ac:dyDescent="0.25">
      <c r="A95" s="44" t="s">
        <v>171</v>
      </c>
      <c r="B95" s="40"/>
      <c r="C95" s="10">
        <f t="shared" si="23"/>
        <v>0</v>
      </c>
      <c r="D95" s="23">
        <v>1</v>
      </c>
      <c r="E95" s="20">
        <f t="shared" si="24"/>
        <v>0</v>
      </c>
      <c r="F95" s="40"/>
      <c r="G95" s="10">
        <f t="shared" si="25"/>
        <v>0</v>
      </c>
    </row>
    <row r="96" spans="1:7" x14ac:dyDescent="0.25">
      <c r="A96" s="44" t="s">
        <v>172</v>
      </c>
      <c r="B96" s="40">
        <v>1E-3</v>
      </c>
      <c r="C96" s="10">
        <f t="shared" si="23"/>
        <v>1.5479878557256743E-10</v>
      </c>
      <c r="D96" s="23">
        <v>1</v>
      </c>
      <c r="E96" s="20">
        <f t="shared" si="24"/>
        <v>1E-3</v>
      </c>
      <c r="F96" s="40">
        <v>1E-3</v>
      </c>
      <c r="G96" s="10">
        <f t="shared" si="25"/>
        <v>1.5603060633961715E-10</v>
      </c>
    </row>
    <row r="97" spans="1:7" x14ac:dyDescent="0.25">
      <c r="A97" s="44" t="s">
        <v>102</v>
      </c>
      <c r="B97" s="40">
        <v>224795</v>
      </c>
      <c r="C97" s="10">
        <f t="shared" si="23"/>
        <v>3.4797993002785292E-2</v>
      </c>
      <c r="D97" s="23">
        <v>1</v>
      </c>
      <c r="E97" s="20">
        <f t="shared" si="24"/>
        <v>224795</v>
      </c>
      <c r="F97" s="40">
        <v>225000</v>
      </c>
      <c r="G97" s="10">
        <f t="shared" si="25"/>
        <v>3.5106886426413859E-2</v>
      </c>
    </row>
    <row r="98" spans="1:7" x14ac:dyDescent="0.25">
      <c r="A98" s="44" t="s">
        <v>103</v>
      </c>
      <c r="B98" s="40">
        <v>7324</v>
      </c>
      <c r="C98" s="10">
        <f t="shared" si="23"/>
        <v>1.1337463055334839E-3</v>
      </c>
      <c r="D98" s="23">
        <v>1</v>
      </c>
      <c r="E98" s="20">
        <f t="shared" si="24"/>
        <v>7324</v>
      </c>
      <c r="F98" s="40">
        <v>12500</v>
      </c>
      <c r="G98" s="10">
        <f t="shared" si="25"/>
        <v>1.9503825792452144E-3</v>
      </c>
    </row>
    <row r="99" spans="1:7" x14ac:dyDescent="0.25">
      <c r="A99" s="44" t="s">
        <v>104</v>
      </c>
      <c r="B99" s="40">
        <v>57044</v>
      </c>
      <c r="C99" s="10">
        <f t="shared" si="23"/>
        <v>8.8303419242015367E-3</v>
      </c>
      <c r="D99" s="23">
        <v>1</v>
      </c>
      <c r="E99" s="20">
        <f t="shared" si="24"/>
        <v>57044</v>
      </c>
      <c r="F99" s="40">
        <v>54700</v>
      </c>
      <c r="G99" s="10">
        <f t="shared" si="25"/>
        <v>8.5348741667770588E-3</v>
      </c>
    </row>
    <row r="100" spans="1:7" x14ac:dyDescent="0.25">
      <c r="A100" s="44" t="s">
        <v>105</v>
      </c>
      <c r="B100" s="40">
        <v>5230</v>
      </c>
      <c r="C100" s="10">
        <f t="shared" si="23"/>
        <v>8.0959764854452766E-4</v>
      </c>
      <c r="D100" s="23">
        <v>1</v>
      </c>
      <c r="E100" s="20">
        <f t="shared" si="24"/>
        <v>5230</v>
      </c>
      <c r="F100" s="40">
        <v>7300</v>
      </c>
      <c r="G100" s="10">
        <f t="shared" si="25"/>
        <v>1.1390234262792052E-3</v>
      </c>
    </row>
    <row r="101" spans="1:7" x14ac:dyDescent="0.25">
      <c r="A101" s="44" t="s">
        <v>106</v>
      </c>
      <c r="B101" s="40">
        <v>29559</v>
      </c>
      <c r="C101" s="10">
        <f t="shared" si="23"/>
        <v>4.5756973027395202E-3</v>
      </c>
      <c r="D101" s="23">
        <v>1</v>
      </c>
      <c r="E101" s="20">
        <f t="shared" si="24"/>
        <v>29559</v>
      </c>
      <c r="F101" s="40">
        <v>30000</v>
      </c>
      <c r="G101" s="10">
        <f t="shared" si="25"/>
        <v>4.6809181901885143E-3</v>
      </c>
    </row>
    <row r="102" spans="1:7" x14ac:dyDescent="0.25">
      <c r="A102" s="44" t="s">
        <v>107</v>
      </c>
      <c r="B102" s="40">
        <v>1426</v>
      </c>
      <c r="C102" s="10">
        <f t="shared" si="23"/>
        <v>2.2074306822648116E-4</v>
      </c>
      <c r="D102" s="23">
        <v>1</v>
      </c>
      <c r="E102" s="20">
        <f t="shared" si="24"/>
        <v>1426</v>
      </c>
      <c r="F102" s="40">
        <v>1300</v>
      </c>
      <c r="G102" s="10">
        <f t="shared" si="25"/>
        <v>2.028397882415023E-4</v>
      </c>
    </row>
    <row r="103" spans="1:7" x14ac:dyDescent="0.25">
      <c r="A103" s="44" t="s">
        <v>108</v>
      </c>
      <c r="B103" s="40">
        <v>30420</v>
      </c>
      <c r="C103" s="10">
        <f t="shared" si="23"/>
        <v>4.7089790571175011E-3</v>
      </c>
      <c r="D103" s="23">
        <v>1</v>
      </c>
      <c r="E103" s="20">
        <f t="shared" si="24"/>
        <v>30420</v>
      </c>
      <c r="F103" s="40">
        <v>23000</v>
      </c>
      <c r="G103" s="10">
        <f t="shared" si="25"/>
        <v>3.5887039458111945E-3</v>
      </c>
    </row>
    <row r="104" spans="1:7" x14ac:dyDescent="0.25">
      <c r="A104" s="44" t="s">
        <v>109</v>
      </c>
      <c r="B104" s="40">
        <v>77441</v>
      </c>
      <c r="C104" s="10">
        <f t="shared" si="23"/>
        <v>1.1987772753525194E-2</v>
      </c>
      <c r="D104" s="23">
        <v>1</v>
      </c>
      <c r="E104" s="20">
        <f t="shared" si="24"/>
        <v>77441</v>
      </c>
      <c r="F104" s="40">
        <v>11500</v>
      </c>
      <c r="G104" s="10">
        <f t="shared" si="25"/>
        <v>1.7943519729055972E-3</v>
      </c>
    </row>
    <row r="105" spans="1:7" x14ac:dyDescent="0.25">
      <c r="A105" s="44" t="s">
        <v>110</v>
      </c>
      <c r="B105" s="40">
        <v>9889</v>
      </c>
      <c r="C105" s="10">
        <f t="shared" si="23"/>
        <v>1.5308051905271194E-3</v>
      </c>
      <c r="D105" s="23">
        <v>1</v>
      </c>
      <c r="E105" s="20">
        <f t="shared" si="24"/>
        <v>9889</v>
      </c>
      <c r="F105" s="40">
        <v>13500</v>
      </c>
      <c r="G105" s="10">
        <f t="shared" si="25"/>
        <v>2.1064131855848315E-3</v>
      </c>
    </row>
    <row r="106" spans="1:7" x14ac:dyDescent="0.25">
      <c r="A106" s="44" t="s">
        <v>111</v>
      </c>
      <c r="B106" s="40">
        <v>20652</v>
      </c>
      <c r="C106" s="10">
        <f t="shared" si="23"/>
        <v>3.1969045196446623E-3</v>
      </c>
      <c r="D106" s="23">
        <v>1</v>
      </c>
      <c r="E106" s="20">
        <f t="shared" si="24"/>
        <v>20652</v>
      </c>
      <c r="F106" s="40">
        <v>14100</v>
      </c>
      <c r="G106" s="10">
        <f t="shared" si="25"/>
        <v>2.2000315493886017E-3</v>
      </c>
    </row>
    <row r="107" spans="1:7" x14ac:dyDescent="0.25">
      <c r="A107" s="44" t="s">
        <v>112</v>
      </c>
      <c r="B107" s="40">
        <v>26662</v>
      </c>
      <c r="C107" s="10">
        <f t="shared" si="23"/>
        <v>4.127245220935793E-3</v>
      </c>
      <c r="D107" s="23">
        <v>1</v>
      </c>
      <c r="E107" s="20">
        <f t="shared" si="24"/>
        <v>26662</v>
      </c>
      <c r="F107" s="40">
        <v>21500</v>
      </c>
      <c r="G107" s="10">
        <f t="shared" si="25"/>
        <v>3.3546580363017688E-3</v>
      </c>
    </row>
    <row r="108" spans="1:7" x14ac:dyDescent="0.25">
      <c r="A108" s="44" t="s">
        <v>113</v>
      </c>
      <c r="B108" s="40">
        <v>5567</v>
      </c>
      <c r="C108" s="10">
        <f t="shared" si="23"/>
        <v>8.6176483928248281E-4</v>
      </c>
      <c r="D108" s="23">
        <v>1</v>
      </c>
      <c r="E108" s="20">
        <f t="shared" si="24"/>
        <v>5567</v>
      </c>
      <c r="F108" s="40">
        <v>9000</v>
      </c>
      <c r="G108" s="10">
        <f t="shared" si="25"/>
        <v>1.4042754570565545E-3</v>
      </c>
    </row>
    <row r="109" spans="1:7" x14ac:dyDescent="0.25">
      <c r="A109" s="44" t="s">
        <v>114</v>
      </c>
      <c r="B109" s="40">
        <v>21266</v>
      </c>
      <c r="C109" s="10">
        <f t="shared" si="23"/>
        <v>3.291950973986219E-3</v>
      </c>
      <c r="D109" s="23">
        <v>1</v>
      </c>
      <c r="E109" s="20">
        <f t="shared" si="24"/>
        <v>21266</v>
      </c>
      <c r="F109" s="40">
        <v>19500</v>
      </c>
      <c r="G109" s="10">
        <f t="shared" si="25"/>
        <v>3.0425968236225346E-3</v>
      </c>
    </row>
    <row r="110" spans="1:7" x14ac:dyDescent="0.25">
      <c r="A110" s="44" t="s">
        <v>115</v>
      </c>
      <c r="B110" s="40">
        <v>34093</v>
      </c>
      <c r="C110" s="10">
        <f t="shared" si="23"/>
        <v>5.2775549965255412E-3</v>
      </c>
      <c r="D110" s="23">
        <v>1</v>
      </c>
      <c r="E110" s="20">
        <f t="shared" si="24"/>
        <v>34093</v>
      </c>
      <c r="F110" s="40">
        <v>38700</v>
      </c>
      <c r="G110" s="10">
        <f t="shared" si="25"/>
        <v>6.0383844653431841E-3</v>
      </c>
    </row>
    <row r="111" spans="1:7" x14ac:dyDescent="0.25">
      <c r="A111" s="44" t="s">
        <v>116</v>
      </c>
      <c r="B111" s="40">
        <v>11223</v>
      </c>
      <c r="C111" s="10">
        <f t="shared" si="23"/>
        <v>1.7373067704809242E-3</v>
      </c>
      <c r="D111" s="23">
        <v>1</v>
      </c>
      <c r="E111" s="20">
        <f t="shared" si="24"/>
        <v>11223</v>
      </c>
      <c r="F111" s="40">
        <v>12000</v>
      </c>
      <c r="G111" s="10">
        <f t="shared" si="25"/>
        <v>1.8723672760754058E-3</v>
      </c>
    </row>
    <row r="112" spans="1:7" x14ac:dyDescent="0.25">
      <c r="A112" s="44" t="s">
        <v>117</v>
      </c>
      <c r="B112" s="40">
        <v>82707</v>
      </c>
      <c r="C112" s="10">
        <f t="shared" si="23"/>
        <v>1.2802943158350334E-2</v>
      </c>
      <c r="D112" s="23">
        <v>1</v>
      </c>
      <c r="E112" s="20">
        <f t="shared" si="24"/>
        <v>82707</v>
      </c>
      <c r="F112" s="40">
        <v>65000</v>
      </c>
      <c r="G112" s="10">
        <f t="shared" si="25"/>
        <v>1.0141989412075114E-2</v>
      </c>
    </row>
    <row r="113" spans="1:9" x14ac:dyDescent="0.25">
      <c r="A113" s="44" t="s">
        <v>118</v>
      </c>
      <c r="B113" s="40">
        <v>7579</v>
      </c>
      <c r="C113" s="10">
        <f t="shared" si="23"/>
        <v>1.1732199958544886E-3</v>
      </c>
      <c r="D113" s="23">
        <v>1</v>
      </c>
      <c r="E113" s="20">
        <f t="shared" si="24"/>
        <v>7579</v>
      </c>
      <c r="F113" s="40">
        <v>8500</v>
      </c>
      <c r="G113" s="10">
        <f t="shared" si="25"/>
        <v>1.3262601538867459E-3</v>
      </c>
    </row>
    <row r="114" spans="1:9" x14ac:dyDescent="0.25">
      <c r="A114" s="44" t="s">
        <v>119</v>
      </c>
      <c r="B114" s="40">
        <v>287333</v>
      </c>
      <c r="C114" s="10">
        <f t="shared" si="23"/>
        <v>4.4478799454922516E-2</v>
      </c>
      <c r="D114" s="23">
        <v>1</v>
      </c>
      <c r="E114" s="20">
        <f t="shared" si="24"/>
        <v>287333</v>
      </c>
      <c r="F114" s="40">
        <v>300000</v>
      </c>
      <c r="G114" s="10">
        <f t="shared" si="25"/>
        <v>4.6809181901885148E-2</v>
      </c>
    </row>
    <row r="115" spans="1:9" x14ac:dyDescent="0.25">
      <c r="A115" s="44" t="s">
        <v>173</v>
      </c>
      <c r="B115" s="40">
        <v>1E-3</v>
      </c>
      <c r="C115" s="10">
        <f t="shared" si="23"/>
        <v>1.5479878557256743E-10</v>
      </c>
      <c r="D115" s="23">
        <v>1</v>
      </c>
      <c r="E115" s="20">
        <f t="shared" si="24"/>
        <v>1E-3</v>
      </c>
      <c r="F115" s="40">
        <v>1E-3</v>
      </c>
      <c r="G115" s="10">
        <f t="shared" si="25"/>
        <v>1.5603060633961715E-10</v>
      </c>
    </row>
    <row r="116" spans="1:9" x14ac:dyDescent="0.25">
      <c r="A116" s="44" t="s">
        <v>174</v>
      </c>
      <c r="B116" s="40">
        <v>1E-3</v>
      </c>
      <c r="C116" s="10">
        <f t="shared" si="23"/>
        <v>1.5479878557256743E-10</v>
      </c>
      <c r="D116" s="23">
        <v>1</v>
      </c>
      <c r="E116" s="20">
        <f t="shared" si="24"/>
        <v>1E-3</v>
      </c>
      <c r="F116" s="40">
        <v>1E-3</v>
      </c>
      <c r="G116" s="10">
        <f t="shared" si="25"/>
        <v>1.5603060633961715E-10</v>
      </c>
    </row>
    <row r="117" spans="1:9" x14ac:dyDescent="0.25">
      <c r="A117" s="44" t="s">
        <v>175</v>
      </c>
      <c r="B117" s="40">
        <v>1E-3</v>
      </c>
      <c r="C117" s="10">
        <f t="shared" si="23"/>
        <v>1.5479878557256743E-10</v>
      </c>
      <c r="D117" s="23">
        <v>1</v>
      </c>
      <c r="E117" s="20">
        <f t="shared" si="24"/>
        <v>1E-3</v>
      </c>
      <c r="F117" s="40">
        <v>1E-3</v>
      </c>
      <c r="G117" s="10">
        <f t="shared" si="25"/>
        <v>1.5603060633961715E-10</v>
      </c>
    </row>
    <row r="118" spans="1:9" x14ac:dyDescent="0.25">
      <c r="A118" s="44" t="s">
        <v>176</v>
      </c>
      <c r="B118" s="40">
        <v>1E-3</v>
      </c>
      <c r="C118" s="10">
        <f t="shared" si="23"/>
        <v>1.5479878557256743E-10</v>
      </c>
      <c r="D118" s="23">
        <v>1</v>
      </c>
      <c r="E118" s="20">
        <f t="shared" si="24"/>
        <v>1E-3</v>
      </c>
      <c r="F118" s="40">
        <v>1E-3</v>
      </c>
      <c r="G118" s="10">
        <f t="shared" si="25"/>
        <v>1.5603060633961715E-10</v>
      </c>
    </row>
    <row r="119" spans="1:9" x14ac:dyDescent="0.25">
      <c r="A119" s="44" t="s">
        <v>177</v>
      </c>
      <c r="B119" s="40">
        <v>1E-3</v>
      </c>
      <c r="C119" s="10">
        <f t="shared" si="23"/>
        <v>1.5479878557256743E-10</v>
      </c>
      <c r="D119" s="23">
        <v>1</v>
      </c>
      <c r="E119" s="20">
        <f t="shared" si="24"/>
        <v>1E-3</v>
      </c>
      <c r="F119" s="40">
        <v>1E-3</v>
      </c>
      <c r="G119" s="10">
        <f t="shared" si="25"/>
        <v>1.5603060633961715E-10</v>
      </c>
    </row>
    <row r="120" spans="1:9" x14ac:dyDescent="0.25">
      <c r="A120" t="s">
        <v>120</v>
      </c>
      <c r="B120" s="20">
        <f>SUM(B87:B119)</f>
        <v>2833101.006000001</v>
      </c>
      <c r="C120" s="10">
        <f t="shared" si="23"/>
        <v>0.43856059513321921</v>
      </c>
      <c r="F120" s="20">
        <f>SUM(F87:F119)</f>
        <v>2731493.006000001</v>
      </c>
      <c r="G120" s="10">
        <f t="shared" si="25"/>
        <v>0.4261965099386037</v>
      </c>
    </row>
    <row r="121" spans="1:9" x14ac:dyDescent="0.25">
      <c r="A121" t="s">
        <v>6</v>
      </c>
      <c r="B121" s="20" t="s">
        <v>6</v>
      </c>
      <c r="C121" s="10"/>
      <c r="F121" t="s">
        <v>6</v>
      </c>
      <c r="G121" s="10"/>
    </row>
    <row r="122" spans="1:9" x14ac:dyDescent="0.25">
      <c r="A122" t="s">
        <v>121</v>
      </c>
      <c r="B122" s="20">
        <f>B78+B85+B120</f>
        <v>6010623.006000001</v>
      </c>
      <c r="C122" s="10">
        <f>IF(B122&gt;0,B122/C$64,0)</f>
        <v>0.93043714186333482</v>
      </c>
      <c r="F122" s="20">
        <f>F78+F85+F120</f>
        <v>6020510.6060000006</v>
      </c>
      <c r="G122" s="10">
        <f>IF(F122&gt;0,F122/F$64,0)</f>
        <v>0.939383920328276</v>
      </c>
    </row>
    <row r="123" spans="1:9" x14ac:dyDescent="0.25">
      <c r="B123" s="20"/>
      <c r="C123" s="10"/>
      <c r="F123" s="20"/>
      <c r="G123" s="10"/>
    </row>
    <row r="124" spans="1:9" x14ac:dyDescent="0.25">
      <c r="A124" t="s">
        <v>6</v>
      </c>
      <c r="B124" t="s">
        <v>6</v>
      </c>
      <c r="C124" t="s">
        <v>290</v>
      </c>
      <c r="D124" t="s">
        <v>291</v>
      </c>
      <c r="E124" t="s">
        <v>292</v>
      </c>
      <c r="G124" t="s">
        <v>290</v>
      </c>
      <c r="H124" t="s">
        <v>291</v>
      </c>
      <c r="I124" t="s">
        <v>292</v>
      </c>
    </row>
    <row r="125" spans="1:9" x14ac:dyDescent="0.25">
      <c r="A125" t="s">
        <v>8</v>
      </c>
      <c r="B125" s="14">
        <f>C64-B122</f>
        <v>449375.99399999902</v>
      </c>
      <c r="C125" s="50">
        <v>0.3</v>
      </c>
      <c r="D125" s="23">
        <f>1-C125-E125</f>
        <v>0.64999999999999991</v>
      </c>
      <c r="E125" s="50">
        <v>0.05</v>
      </c>
      <c r="F125" s="14">
        <f>F64-F122</f>
        <v>388488.39399999939</v>
      </c>
      <c r="G125" s="50">
        <v>0.25</v>
      </c>
      <c r="H125" s="23">
        <f>1-G125-I125</f>
        <v>0.7</v>
      </c>
      <c r="I125" s="50">
        <v>0.05</v>
      </c>
    </row>
    <row r="126" spans="1:9" x14ac:dyDescent="0.25">
      <c r="A126" t="s">
        <v>271</v>
      </c>
      <c r="B126" s="43">
        <v>98000</v>
      </c>
      <c r="C126" s="50">
        <v>0.3</v>
      </c>
      <c r="D126" s="23">
        <f>1-C126</f>
        <v>0.7</v>
      </c>
      <c r="F126" s="43">
        <v>100000</v>
      </c>
      <c r="G126" s="50">
        <v>0.3</v>
      </c>
      <c r="H126" s="23">
        <f>1-G126</f>
        <v>0.7</v>
      </c>
    </row>
    <row r="127" spans="1:9" x14ac:dyDescent="0.25">
      <c r="A127" t="s">
        <v>9</v>
      </c>
      <c r="B127" s="14">
        <f>B125+B126</f>
        <v>547375.99399999902</v>
      </c>
      <c r="F127" s="14">
        <f>F125+F126</f>
        <v>488488.39399999939</v>
      </c>
    </row>
    <row r="128" spans="1:9" x14ac:dyDescent="0.25">
      <c r="G128" t="s">
        <v>413</v>
      </c>
    </row>
    <row r="129" spans="1:7" x14ac:dyDescent="0.25">
      <c r="F129" t="s">
        <v>6</v>
      </c>
      <c r="G129" s="40">
        <v>12</v>
      </c>
    </row>
    <row r="130" spans="1:7" x14ac:dyDescent="0.25">
      <c r="A130" t="s">
        <v>294</v>
      </c>
    </row>
    <row r="131" spans="1:7" x14ac:dyDescent="0.25">
      <c r="A131" t="s">
        <v>295</v>
      </c>
      <c r="C131" s="23">
        <v>0</v>
      </c>
      <c r="E131" t="s">
        <v>9</v>
      </c>
      <c r="G131" s="14">
        <f>F127</f>
        <v>488488.39399999939</v>
      </c>
    </row>
    <row r="132" spans="1:7" x14ac:dyDescent="0.25">
      <c r="A132" t="s">
        <v>296</v>
      </c>
      <c r="C132" s="23">
        <v>0</v>
      </c>
      <c r="E132" t="s">
        <v>299</v>
      </c>
      <c r="G132">
        <f>Cashflow!M53</f>
        <v>315.29549999855226</v>
      </c>
    </row>
    <row r="133" spans="1:7" x14ac:dyDescent="0.25">
      <c r="A133" t="s">
        <v>297</v>
      </c>
      <c r="C133" s="23">
        <v>0</v>
      </c>
      <c r="E133" t="s">
        <v>21</v>
      </c>
      <c r="G133">
        <f>'Working Capital'!N17</f>
        <v>2833940.161386101</v>
      </c>
    </row>
    <row r="134" spans="1:7" x14ac:dyDescent="0.25">
      <c r="A134" t="s">
        <v>298</v>
      </c>
      <c r="C134" s="23">
        <v>0</v>
      </c>
    </row>
    <row r="135" spans="1:7" x14ac:dyDescent="0.25">
      <c r="C135" s="5"/>
    </row>
  </sheetData>
  <phoneticPr fontId="2" type="noConversion"/>
  <hyperlinks>
    <hyperlink ref="C2" location="Instructions!L8" display="Instructions!L8"/>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5"/>
  <sheetViews>
    <sheetView topLeftCell="A40" zoomScale="90" zoomScaleNormal="90" workbookViewId="0">
      <selection activeCell="C6" sqref="C6"/>
    </sheetView>
  </sheetViews>
  <sheetFormatPr defaultRowHeight="15" x14ac:dyDescent="0.25"/>
  <cols>
    <col min="1" max="1" width="13" customWidth="1"/>
    <col min="2" max="2" width="12" customWidth="1"/>
    <col min="3" max="14" width="13" bestFit="1" customWidth="1"/>
    <col min="15" max="15" width="11.28515625" bestFit="1" customWidth="1"/>
  </cols>
  <sheetData>
    <row r="1" spans="1:19" x14ac:dyDescent="0.25">
      <c r="C1" s="65" t="s">
        <v>157</v>
      </c>
      <c r="D1" s="37"/>
      <c r="E1" s="37"/>
      <c r="F1" s="37"/>
      <c r="G1" s="37"/>
      <c r="H1" s="37"/>
      <c r="I1" s="37"/>
      <c r="J1" s="37"/>
      <c r="K1" s="37"/>
      <c r="L1" s="37"/>
      <c r="M1" s="37"/>
    </row>
    <row r="2" spans="1:19" x14ac:dyDescent="0.25">
      <c r="C2" s="79"/>
      <c r="D2" s="79"/>
      <c r="E2" s="79"/>
      <c r="F2" s="79"/>
      <c r="G2" s="79"/>
      <c r="H2" s="79"/>
      <c r="I2" s="79"/>
      <c r="J2" s="79"/>
      <c r="K2" s="79"/>
      <c r="L2" s="79"/>
      <c r="M2" s="79"/>
    </row>
    <row r="3" spans="1:19" x14ac:dyDescent="0.25">
      <c r="B3" s="52"/>
      <c r="C3" s="79" t="s">
        <v>302</v>
      </c>
      <c r="D3" s="79"/>
      <c r="E3" s="79"/>
      <c r="F3" s="79"/>
      <c r="G3" s="79"/>
      <c r="H3" s="79"/>
      <c r="I3" s="35"/>
      <c r="J3" s="35"/>
      <c r="K3" s="35"/>
      <c r="L3" s="35"/>
      <c r="M3" s="35"/>
    </row>
    <row r="4" spans="1:19" x14ac:dyDescent="0.25">
      <c r="C4" s="35" t="s">
        <v>322</v>
      </c>
      <c r="D4" s="35"/>
      <c r="E4" s="35"/>
      <c r="F4" s="35"/>
      <c r="G4" s="35"/>
      <c r="H4" s="35"/>
      <c r="I4" s="35"/>
      <c r="J4" s="35"/>
      <c r="K4" s="35"/>
      <c r="L4" s="35"/>
      <c r="M4" s="35"/>
    </row>
    <row r="5" spans="1:19" x14ac:dyDescent="0.25">
      <c r="B5" s="51"/>
      <c r="C5" s="79" t="s">
        <v>303</v>
      </c>
      <c r="D5" s="79"/>
      <c r="E5" s="79"/>
      <c r="F5" s="79"/>
      <c r="G5" s="79"/>
      <c r="H5" s="79"/>
      <c r="I5" s="79"/>
      <c r="J5" s="79"/>
      <c r="K5" s="35"/>
      <c r="L5" s="35"/>
      <c r="M5" s="35"/>
    </row>
    <row r="6" spans="1:19" x14ac:dyDescent="0.25">
      <c r="C6" s="38" t="s">
        <v>325</v>
      </c>
      <c r="D6" s="35"/>
      <c r="E6" s="39" t="s">
        <v>337</v>
      </c>
      <c r="F6" s="35"/>
      <c r="G6" s="35"/>
      <c r="H6" s="35"/>
      <c r="I6" s="35"/>
      <c r="J6" s="35"/>
      <c r="K6" s="35"/>
      <c r="L6" s="35"/>
      <c r="M6" s="35"/>
      <c r="O6" t="s">
        <v>335</v>
      </c>
    </row>
    <row r="7" spans="1:19" x14ac:dyDescent="0.25">
      <c r="C7" t="s">
        <v>306</v>
      </c>
      <c r="E7" s="35" t="str">
        <f>'5 year history'!A8</f>
        <v>Anytown Cooperative</v>
      </c>
      <c r="F7" s="35"/>
      <c r="G7" s="66">
        <f>'5 year history'!F8</f>
        <v>41038</v>
      </c>
      <c r="H7" s="35"/>
      <c r="I7" s="35"/>
      <c r="J7" s="35"/>
      <c r="K7" s="35"/>
      <c r="L7" s="35"/>
      <c r="M7" s="35"/>
      <c r="O7" t="s">
        <v>336</v>
      </c>
    </row>
    <row r="8" spans="1:19" x14ac:dyDescent="0.25">
      <c r="C8" t="s">
        <v>139</v>
      </c>
      <c r="D8" t="s">
        <v>140</v>
      </c>
      <c r="E8" t="s">
        <v>141</v>
      </c>
      <c r="F8" t="s">
        <v>142</v>
      </c>
      <c r="G8" t="s">
        <v>143</v>
      </c>
      <c r="H8" t="s">
        <v>144</v>
      </c>
      <c r="I8" t="s">
        <v>145</v>
      </c>
      <c r="J8" t="s">
        <v>146</v>
      </c>
      <c r="K8" t="s">
        <v>147</v>
      </c>
      <c r="L8" t="s">
        <v>148</v>
      </c>
      <c r="M8" t="s">
        <v>149</v>
      </c>
      <c r="N8" t="s">
        <v>150</v>
      </c>
      <c r="O8" t="s">
        <v>60</v>
      </c>
    </row>
    <row r="9" spans="1:19" x14ac:dyDescent="0.25">
      <c r="A9" t="str">
        <f>'Prior year summary'!A9</f>
        <v>Wheat</v>
      </c>
      <c r="B9" t="s">
        <v>158</v>
      </c>
      <c r="C9" s="52">
        <f>'Prior year summary'!$C9*0.125</f>
        <v>625000</v>
      </c>
      <c r="D9" s="52"/>
      <c r="E9" s="52"/>
      <c r="F9" s="52"/>
      <c r="G9" s="52"/>
      <c r="H9" s="52">
        <f>'Prior year summary'!$C$9*0.25</f>
        <v>1250000</v>
      </c>
      <c r="I9" s="52">
        <f>'Prior year summary'!$C$9*0.125</f>
        <v>625000</v>
      </c>
      <c r="J9" s="52">
        <f>'Prior year summary'!$C$9*0.125</f>
        <v>625000</v>
      </c>
      <c r="K9" s="52">
        <f>'Prior year summary'!$C$9*0.125</f>
        <v>625000</v>
      </c>
      <c r="L9" s="52">
        <f>'Prior year summary'!$C$9*0.125</f>
        <v>625000</v>
      </c>
      <c r="M9" s="52">
        <f>'Prior year summary'!$C$9*0.125</f>
        <v>625000</v>
      </c>
      <c r="N9" s="2">
        <f>O9-SUM(C9:M9)</f>
        <v>0</v>
      </c>
      <c r="O9" s="6">
        <f>'Prior year summary'!C9</f>
        <v>5000000</v>
      </c>
    </row>
    <row r="10" spans="1:19" x14ac:dyDescent="0.25">
      <c r="B10" t="s">
        <v>160</v>
      </c>
      <c r="C10" s="69">
        <f t="shared" ref="C10:N10" si="0">IF($O9&gt;0,C9/$O9,0)</f>
        <v>0.125</v>
      </c>
      <c r="D10" s="69">
        <f t="shared" si="0"/>
        <v>0</v>
      </c>
      <c r="E10" s="69">
        <f t="shared" si="0"/>
        <v>0</v>
      </c>
      <c r="F10" s="69">
        <f t="shared" si="0"/>
        <v>0</v>
      </c>
      <c r="G10" s="69">
        <f t="shared" si="0"/>
        <v>0</v>
      </c>
      <c r="H10" s="69">
        <f t="shared" si="0"/>
        <v>0.25</v>
      </c>
      <c r="I10" s="69">
        <f t="shared" si="0"/>
        <v>0.125</v>
      </c>
      <c r="J10" s="69">
        <f t="shared" si="0"/>
        <v>0.125</v>
      </c>
      <c r="K10" s="69">
        <f t="shared" si="0"/>
        <v>0.125</v>
      </c>
      <c r="L10" s="69">
        <f t="shared" si="0"/>
        <v>0.125</v>
      </c>
      <c r="M10" s="69">
        <f t="shared" si="0"/>
        <v>0.125</v>
      </c>
      <c r="N10" s="5">
        <f t="shared" si="0"/>
        <v>0</v>
      </c>
      <c r="O10" s="5">
        <f>SUM(C10:N10)</f>
        <v>1</v>
      </c>
    </row>
    <row r="11" spans="1:19" x14ac:dyDescent="0.25">
      <c r="B11" t="s">
        <v>159</v>
      </c>
      <c r="C11" s="68">
        <f>1/12</f>
        <v>8.3333333333333329E-2</v>
      </c>
      <c r="D11" s="68">
        <f t="shared" ref="D11:M11" si="1">1/12</f>
        <v>8.3333333333333329E-2</v>
      </c>
      <c r="E11" s="68">
        <f t="shared" si="1"/>
        <v>8.3333333333333329E-2</v>
      </c>
      <c r="F11" s="68">
        <f t="shared" si="1"/>
        <v>8.3333333333333329E-2</v>
      </c>
      <c r="G11" s="68">
        <f t="shared" si="1"/>
        <v>8.3333333333333329E-2</v>
      </c>
      <c r="H11" s="68">
        <f t="shared" si="1"/>
        <v>8.3333333333333329E-2</v>
      </c>
      <c r="I11" s="68">
        <f t="shared" si="1"/>
        <v>8.3333333333333329E-2</v>
      </c>
      <c r="J11" s="68">
        <f t="shared" si="1"/>
        <v>8.3333333333333329E-2</v>
      </c>
      <c r="K11" s="68">
        <f t="shared" si="1"/>
        <v>8.3333333333333329E-2</v>
      </c>
      <c r="L11" s="68">
        <f t="shared" si="1"/>
        <v>8.3333333333333329E-2</v>
      </c>
      <c r="M11" s="68">
        <f t="shared" si="1"/>
        <v>8.3333333333333329E-2</v>
      </c>
      <c r="N11" s="7">
        <f>1-SUM(C11:M11)</f>
        <v>8.3333333333333259E-2</v>
      </c>
      <c r="O11" s="5">
        <f>SUM(C11:N11)</f>
        <v>1</v>
      </c>
      <c r="R11" s="4" t="s">
        <v>384</v>
      </c>
      <c r="S11" s="67">
        <f>1/12</f>
        <v>8.3333333333333329E-2</v>
      </c>
    </row>
    <row r="12" spans="1:19" x14ac:dyDescent="0.25">
      <c r="A12" t="str">
        <f>'Prior year summary'!A10</f>
        <v>Oats</v>
      </c>
      <c r="B12" t="s">
        <v>158</v>
      </c>
      <c r="C12" s="52">
        <f>'Prior year summary'!$C10*0.125</f>
        <v>1782.75</v>
      </c>
      <c r="D12" s="52"/>
      <c r="E12" s="52"/>
      <c r="F12" s="52"/>
      <c r="G12" s="52"/>
      <c r="H12" s="52">
        <f>'Prior year summary'!$C$10*0.125</f>
        <v>1782.75</v>
      </c>
      <c r="I12" s="52">
        <f>'Prior year summary'!$C$10*0.125</f>
        <v>1782.75</v>
      </c>
      <c r="J12" s="52">
        <f>'Prior year summary'!$C$10*0.125</f>
        <v>1782.75</v>
      </c>
      <c r="K12" s="52">
        <f>'Prior year summary'!$C$10*0.25</f>
        <v>3565.5</v>
      </c>
      <c r="L12" s="52">
        <f>'Prior year summary'!$C$10*0.125</f>
        <v>1782.75</v>
      </c>
      <c r="M12" s="52">
        <f>'Prior year summary'!$C$10*0.125</f>
        <v>1782.75</v>
      </c>
      <c r="N12" s="2">
        <f>O12-SUM(C12:M12)</f>
        <v>0</v>
      </c>
      <c r="O12" s="8">
        <f>'Prior year summary'!C10</f>
        <v>14262</v>
      </c>
    </row>
    <row r="13" spans="1:19" x14ac:dyDescent="0.25">
      <c r="B13" t="s">
        <v>160</v>
      </c>
      <c r="C13" s="69">
        <f t="shared" ref="C13:N13" si="2">IF($O12&gt;0,C12/$O12,0)</f>
        <v>0.125</v>
      </c>
      <c r="D13" s="69">
        <f t="shared" si="2"/>
        <v>0</v>
      </c>
      <c r="E13" s="69">
        <f t="shared" si="2"/>
        <v>0</v>
      </c>
      <c r="F13" s="69">
        <f t="shared" si="2"/>
        <v>0</v>
      </c>
      <c r="G13" s="69">
        <f t="shared" si="2"/>
        <v>0</v>
      </c>
      <c r="H13" s="69">
        <f t="shared" si="2"/>
        <v>0.125</v>
      </c>
      <c r="I13" s="69">
        <f t="shared" si="2"/>
        <v>0.125</v>
      </c>
      <c r="J13" s="69">
        <f t="shared" si="2"/>
        <v>0.125</v>
      </c>
      <c r="K13" s="69">
        <f t="shared" si="2"/>
        <v>0.25</v>
      </c>
      <c r="L13" s="69">
        <f t="shared" si="2"/>
        <v>0.125</v>
      </c>
      <c r="M13" s="69">
        <f t="shared" si="2"/>
        <v>0.125</v>
      </c>
      <c r="N13" s="5">
        <f t="shared" si="2"/>
        <v>0</v>
      </c>
      <c r="O13" s="5">
        <f>SUM(C13:N13)</f>
        <v>1</v>
      </c>
    </row>
    <row r="14" spans="1:19" x14ac:dyDescent="0.25">
      <c r="B14" t="s">
        <v>159</v>
      </c>
      <c r="C14" s="68">
        <v>0.13</v>
      </c>
      <c r="D14" s="68">
        <v>0</v>
      </c>
      <c r="E14" s="68">
        <v>0</v>
      </c>
      <c r="F14" s="68">
        <v>0</v>
      </c>
      <c r="G14" s="68">
        <v>0</v>
      </c>
      <c r="H14" s="68">
        <v>0.13</v>
      </c>
      <c r="I14" s="68">
        <v>0.13</v>
      </c>
      <c r="J14" s="68">
        <v>0.13</v>
      </c>
      <c r="K14" s="68">
        <v>0.25</v>
      </c>
      <c r="L14" s="68">
        <v>0.12</v>
      </c>
      <c r="M14" s="68">
        <v>0.11</v>
      </c>
      <c r="N14" s="7">
        <f>1-SUM(C14:M14)</f>
        <v>0</v>
      </c>
      <c r="O14" s="5">
        <f>SUM(C14:N14)</f>
        <v>1</v>
      </c>
    </row>
    <row r="15" spans="1:19" x14ac:dyDescent="0.25">
      <c r="A15" t="str">
        <f>'Prior year summary'!A11</f>
        <v>Milo</v>
      </c>
      <c r="B15" t="s">
        <v>158</v>
      </c>
      <c r="C15" s="52"/>
      <c r="D15" s="52"/>
      <c r="E15" s="52"/>
      <c r="F15" s="52"/>
      <c r="G15" s="52"/>
      <c r="H15" s="52">
        <f>'Prior year summary'!$C$11*0.125</f>
        <v>3540.25</v>
      </c>
      <c r="I15" s="52">
        <f>'Prior year summary'!$C$11*0.125</f>
        <v>3540.25</v>
      </c>
      <c r="J15" s="52">
        <f>'Prior year summary'!$C$11*0.125</f>
        <v>3540.25</v>
      </c>
      <c r="K15" s="52">
        <f>'Prior year summary'!$C$11*0.25</f>
        <v>7080.5</v>
      </c>
      <c r="L15" s="52">
        <f>'Prior year summary'!$C$11*0.125</f>
        <v>3540.25</v>
      </c>
      <c r="M15" s="52">
        <f>'Prior year summary'!$C$11*0.125</f>
        <v>3540.25</v>
      </c>
      <c r="N15" s="2">
        <f>O15-SUM(C15:M15)</f>
        <v>3540.25</v>
      </c>
      <c r="O15" s="6">
        <f>'Prior year summary'!C11</f>
        <v>28322</v>
      </c>
    </row>
    <row r="16" spans="1:19" x14ac:dyDescent="0.25">
      <c r="B16" t="s">
        <v>160</v>
      </c>
      <c r="C16" s="69">
        <f t="shared" ref="C16:N16" si="3">IF($O15&gt;0,C15/$O15,0)</f>
        <v>0</v>
      </c>
      <c r="D16" s="69">
        <f t="shared" si="3"/>
        <v>0</v>
      </c>
      <c r="E16" s="69">
        <f t="shared" si="3"/>
        <v>0</v>
      </c>
      <c r="F16" s="69">
        <f t="shared" si="3"/>
        <v>0</v>
      </c>
      <c r="G16" s="69">
        <f t="shared" si="3"/>
        <v>0</v>
      </c>
      <c r="H16" s="69">
        <f t="shared" si="3"/>
        <v>0.125</v>
      </c>
      <c r="I16" s="69">
        <f t="shared" si="3"/>
        <v>0.125</v>
      </c>
      <c r="J16" s="69">
        <f t="shared" si="3"/>
        <v>0.125</v>
      </c>
      <c r="K16" s="69">
        <f t="shared" si="3"/>
        <v>0.25</v>
      </c>
      <c r="L16" s="69">
        <f t="shared" si="3"/>
        <v>0.125</v>
      </c>
      <c r="M16" s="69">
        <f t="shared" si="3"/>
        <v>0.125</v>
      </c>
      <c r="N16" s="5">
        <f t="shared" si="3"/>
        <v>0.125</v>
      </c>
      <c r="O16" s="5">
        <f>SUM(C16:N16)</f>
        <v>1</v>
      </c>
    </row>
    <row r="17" spans="1:15" x14ac:dyDescent="0.25">
      <c r="B17" t="s">
        <v>159</v>
      </c>
      <c r="C17" s="68">
        <v>0.13</v>
      </c>
      <c r="D17" s="68">
        <v>0</v>
      </c>
      <c r="E17" s="68">
        <v>0</v>
      </c>
      <c r="F17" s="68">
        <v>0</v>
      </c>
      <c r="G17" s="68">
        <v>0</v>
      </c>
      <c r="H17" s="68">
        <v>0.13</v>
      </c>
      <c r="I17" s="68">
        <v>0.13</v>
      </c>
      <c r="J17" s="68">
        <v>0.13</v>
      </c>
      <c r="K17" s="68">
        <v>0.25</v>
      </c>
      <c r="L17" s="68">
        <v>0.12</v>
      </c>
      <c r="M17" s="68">
        <v>0.11</v>
      </c>
      <c r="N17" s="7">
        <f>1-SUM(C17:M17)</f>
        <v>0</v>
      </c>
      <c r="O17" s="5">
        <f>SUM(C17:N17)</f>
        <v>1</v>
      </c>
    </row>
    <row r="18" spans="1:15" x14ac:dyDescent="0.25">
      <c r="A18" t="str">
        <f>'Prior year summary'!A12</f>
        <v>Corn</v>
      </c>
      <c r="B18" t="s">
        <v>158</v>
      </c>
      <c r="C18" s="52">
        <f>'Prior year summary'!$C12*0.125</f>
        <v>237500</v>
      </c>
      <c r="D18" s="52"/>
      <c r="E18" s="52"/>
      <c r="F18" s="52"/>
      <c r="G18" s="52"/>
      <c r="H18" s="52">
        <f>'Prior year summary'!$C$12*0.125</f>
        <v>237500</v>
      </c>
      <c r="I18" s="52">
        <f>'Prior year summary'!$C$12*0.125</f>
        <v>237500</v>
      </c>
      <c r="J18" s="52">
        <f>'Prior year summary'!$C$12*0.125</f>
        <v>237500</v>
      </c>
      <c r="K18" s="52">
        <f>'Prior year summary'!$C$12*0.25</f>
        <v>475000</v>
      </c>
      <c r="L18" s="52">
        <f>'Prior year summary'!$C$12*0.125</f>
        <v>237500</v>
      </c>
      <c r="M18" s="52">
        <f>'Prior year summary'!$C$12*0.125</f>
        <v>237500</v>
      </c>
      <c r="N18" s="2">
        <f>O18-SUM(C18:M18)</f>
        <v>0</v>
      </c>
      <c r="O18" s="8">
        <f>'Prior year summary'!C12</f>
        <v>1900000</v>
      </c>
    </row>
    <row r="19" spans="1:15" x14ac:dyDescent="0.25">
      <c r="B19" t="s">
        <v>160</v>
      </c>
      <c r="C19" s="69">
        <f t="shared" ref="C19:N19" si="4">IF($O18&gt;0,C18/$O18,0)</f>
        <v>0.125</v>
      </c>
      <c r="D19" s="69">
        <f t="shared" si="4"/>
        <v>0</v>
      </c>
      <c r="E19" s="69">
        <f t="shared" si="4"/>
        <v>0</v>
      </c>
      <c r="F19" s="69">
        <f t="shared" si="4"/>
        <v>0</v>
      </c>
      <c r="G19" s="69">
        <f t="shared" si="4"/>
        <v>0</v>
      </c>
      <c r="H19" s="69">
        <f t="shared" si="4"/>
        <v>0.125</v>
      </c>
      <c r="I19" s="69">
        <f t="shared" si="4"/>
        <v>0.125</v>
      </c>
      <c r="J19" s="69">
        <f t="shared" si="4"/>
        <v>0.125</v>
      </c>
      <c r="K19" s="69">
        <f t="shared" si="4"/>
        <v>0.25</v>
      </c>
      <c r="L19" s="69">
        <f t="shared" si="4"/>
        <v>0.125</v>
      </c>
      <c r="M19" s="69">
        <f t="shared" si="4"/>
        <v>0.125</v>
      </c>
      <c r="N19" s="5">
        <f t="shared" si="4"/>
        <v>0</v>
      </c>
      <c r="O19" s="5">
        <f>SUM(C19:N19)</f>
        <v>1</v>
      </c>
    </row>
    <row r="20" spans="1:15" x14ac:dyDescent="0.25">
      <c r="B20" t="s">
        <v>159</v>
      </c>
      <c r="C20" s="68">
        <v>0.13</v>
      </c>
      <c r="D20" s="68">
        <v>0</v>
      </c>
      <c r="E20" s="68">
        <v>0</v>
      </c>
      <c r="F20" s="68">
        <v>0</v>
      </c>
      <c r="G20" s="68">
        <v>0</v>
      </c>
      <c r="H20" s="68">
        <v>0.13</v>
      </c>
      <c r="I20" s="68">
        <v>0.13</v>
      </c>
      <c r="J20" s="68">
        <v>0.13</v>
      </c>
      <c r="K20" s="68">
        <v>0.25</v>
      </c>
      <c r="L20" s="68">
        <v>0.12</v>
      </c>
      <c r="M20" s="68">
        <v>0.11</v>
      </c>
      <c r="N20" s="7">
        <f>1-SUM(C20:M20)</f>
        <v>0</v>
      </c>
      <c r="O20" s="5">
        <f>SUM(C20:N20)</f>
        <v>1</v>
      </c>
    </row>
    <row r="21" spans="1:15" x14ac:dyDescent="0.25">
      <c r="A21" t="str">
        <f>'Prior year summary'!A13</f>
        <v>Soybeans</v>
      </c>
      <c r="B21" t="s">
        <v>158</v>
      </c>
      <c r="C21" s="52">
        <f>'Prior year summary'!$C13*0.125</f>
        <v>0</v>
      </c>
      <c r="D21" s="52"/>
      <c r="E21" s="52"/>
      <c r="F21" s="52"/>
      <c r="G21" s="52"/>
      <c r="H21" s="52">
        <f>'Prior year summary'!$C$13*0.125</f>
        <v>0</v>
      </c>
      <c r="I21" s="52">
        <f>'Prior year summary'!$C$13*0.125</f>
        <v>0</v>
      </c>
      <c r="J21" s="52">
        <f>'Prior year summary'!$C$13*0.125</f>
        <v>0</v>
      </c>
      <c r="K21" s="52">
        <f>'Prior year summary'!$C$13*0.25</f>
        <v>0</v>
      </c>
      <c r="L21" s="52">
        <f>'Prior year summary'!$C$13*0.125</f>
        <v>0</v>
      </c>
      <c r="M21" s="52">
        <f>'Prior year summary'!$C$13*0.125</f>
        <v>0</v>
      </c>
      <c r="N21" s="2">
        <f>O21-SUM(C21:M21)</f>
        <v>0</v>
      </c>
      <c r="O21" s="6">
        <f>'Prior year summary'!C13</f>
        <v>0</v>
      </c>
    </row>
    <row r="22" spans="1:15" x14ac:dyDescent="0.25">
      <c r="B22" t="s">
        <v>160</v>
      </c>
      <c r="C22" s="53">
        <f t="shared" ref="C22:N22" si="5">IF($O21&gt;0,C21/$O21,0)</f>
        <v>0</v>
      </c>
      <c r="D22" s="53">
        <f t="shared" si="5"/>
        <v>0</v>
      </c>
      <c r="E22" s="53">
        <f t="shared" si="5"/>
        <v>0</v>
      </c>
      <c r="F22" s="53">
        <f t="shared" si="5"/>
        <v>0</v>
      </c>
      <c r="G22" s="53">
        <f t="shared" si="5"/>
        <v>0</v>
      </c>
      <c r="H22" s="53">
        <f t="shared" si="5"/>
        <v>0</v>
      </c>
      <c r="I22" s="53">
        <f t="shared" si="5"/>
        <v>0</v>
      </c>
      <c r="J22" s="53">
        <f t="shared" si="5"/>
        <v>0</v>
      </c>
      <c r="K22" s="53">
        <f t="shared" si="5"/>
        <v>0</v>
      </c>
      <c r="L22" s="53">
        <f t="shared" si="5"/>
        <v>0</v>
      </c>
      <c r="M22" s="53">
        <f t="shared" si="5"/>
        <v>0</v>
      </c>
      <c r="N22" s="5">
        <f t="shared" si="5"/>
        <v>0</v>
      </c>
      <c r="O22" s="5">
        <f>SUM(C22:N22)</f>
        <v>0</v>
      </c>
    </row>
    <row r="23" spans="1:15" x14ac:dyDescent="0.25">
      <c r="B23" t="s">
        <v>159</v>
      </c>
      <c r="C23" s="51">
        <v>8.3299999999999999E-2</v>
      </c>
      <c r="D23" s="51">
        <v>8.3299999999999999E-2</v>
      </c>
      <c r="E23" s="51">
        <v>8.3299999999999999E-2</v>
      </c>
      <c r="F23" s="51">
        <v>8.3299999999999999E-2</v>
      </c>
      <c r="G23" s="51">
        <v>8.3299999999999999E-2</v>
      </c>
      <c r="H23" s="51">
        <v>8.3299999999999999E-2</v>
      </c>
      <c r="I23" s="51">
        <v>8.3299999999999999E-2</v>
      </c>
      <c r="J23" s="51">
        <v>8.3299999999999999E-2</v>
      </c>
      <c r="K23" s="51">
        <v>8.3299999999999999E-2</v>
      </c>
      <c r="L23" s="51">
        <v>8.3299999999999999E-2</v>
      </c>
      <c r="M23" s="51">
        <v>8.3299999999999999E-2</v>
      </c>
      <c r="N23" s="7">
        <f>1-SUM(C23:M23)</f>
        <v>8.3699999999999886E-2</v>
      </c>
      <c r="O23" s="5">
        <f>SUM(C23:N23)</f>
        <v>1</v>
      </c>
    </row>
    <row r="24" spans="1:15" x14ac:dyDescent="0.25">
      <c r="C24" s="2"/>
      <c r="D24" s="2"/>
      <c r="E24" s="2"/>
      <c r="F24" s="2"/>
      <c r="G24" s="2"/>
      <c r="H24" s="2"/>
      <c r="I24" s="2"/>
      <c r="J24" s="2"/>
      <c r="K24" s="2"/>
      <c r="L24" s="2"/>
      <c r="M24" s="2"/>
      <c r="N24" s="2"/>
      <c r="O24" s="8">
        <f>O9+O12+O15+O18+O21</f>
        <v>6942584</v>
      </c>
    </row>
    <row r="25" spans="1:15" x14ac:dyDescent="0.25">
      <c r="C25" s="7"/>
      <c r="D25" s="7"/>
      <c r="E25" s="7"/>
      <c r="F25" s="7"/>
      <c r="G25" s="7"/>
      <c r="H25" s="7"/>
      <c r="I25" s="7"/>
      <c r="J25" s="7"/>
      <c r="K25" s="7"/>
      <c r="L25" s="7"/>
      <c r="M25" s="7"/>
      <c r="N25" s="7"/>
      <c r="O25" s="5"/>
    </row>
    <row r="26" spans="1:15" x14ac:dyDescent="0.25">
      <c r="A26" t="s">
        <v>122</v>
      </c>
      <c r="C26" s="7"/>
      <c r="D26" s="7"/>
      <c r="E26" s="7"/>
      <c r="F26" s="7"/>
      <c r="G26" s="7"/>
      <c r="H26" s="7"/>
      <c r="I26" s="7"/>
      <c r="J26" s="7"/>
      <c r="K26" s="7"/>
      <c r="L26" s="7"/>
      <c r="M26" s="7"/>
      <c r="N26" s="7"/>
      <c r="O26" s="5"/>
    </row>
    <row r="27" spans="1:15" x14ac:dyDescent="0.25">
      <c r="A27" t="str">
        <f>'Prior year summary'!A17</f>
        <v>Feed</v>
      </c>
      <c r="B27" t="s">
        <v>158</v>
      </c>
      <c r="C27" s="52">
        <f>'Prior year summary'!$C17*0.0833</f>
        <v>156983.848</v>
      </c>
      <c r="D27" s="52">
        <v>156983.848</v>
      </c>
      <c r="E27" s="52">
        <v>156983.848</v>
      </c>
      <c r="F27" s="52">
        <v>156983.848</v>
      </c>
      <c r="G27" s="52">
        <v>156983.848</v>
      </c>
      <c r="H27" s="52">
        <v>156983.848</v>
      </c>
      <c r="I27" s="52">
        <v>156983.848</v>
      </c>
      <c r="J27" s="52">
        <v>156983.848</v>
      </c>
      <c r="K27" s="52">
        <v>156983.848</v>
      </c>
      <c r="L27" s="52">
        <v>156983.848</v>
      </c>
      <c r="M27" s="52">
        <v>156983.848</v>
      </c>
      <c r="N27" s="2">
        <f>O27-SUM(C27:M27)</f>
        <v>157737.67200000002</v>
      </c>
      <c r="O27" s="6">
        <f>'Prior year summary'!C17</f>
        <v>1884560</v>
      </c>
    </row>
    <row r="28" spans="1:15" x14ac:dyDescent="0.25">
      <c r="B28" t="s">
        <v>160</v>
      </c>
      <c r="C28" s="69">
        <f t="shared" ref="C28:N28" si="6">IF($O27&gt;0,C27/$O27,0)</f>
        <v>8.3299999999999999E-2</v>
      </c>
      <c r="D28" s="69">
        <f t="shared" si="6"/>
        <v>8.3299999999999999E-2</v>
      </c>
      <c r="E28" s="69">
        <f t="shared" si="6"/>
        <v>8.3299999999999999E-2</v>
      </c>
      <c r="F28" s="69">
        <f t="shared" si="6"/>
        <v>8.3299999999999999E-2</v>
      </c>
      <c r="G28" s="69">
        <f t="shared" si="6"/>
        <v>8.3299999999999999E-2</v>
      </c>
      <c r="H28" s="69">
        <f t="shared" si="6"/>
        <v>8.3299999999999999E-2</v>
      </c>
      <c r="I28" s="69">
        <f t="shared" si="6"/>
        <v>8.3299999999999999E-2</v>
      </c>
      <c r="J28" s="69">
        <f t="shared" si="6"/>
        <v>8.3299999999999999E-2</v>
      </c>
      <c r="K28" s="69">
        <f t="shared" si="6"/>
        <v>8.3299999999999999E-2</v>
      </c>
      <c r="L28" s="69">
        <f t="shared" si="6"/>
        <v>8.3299999999999999E-2</v>
      </c>
      <c r="M28" s="69">
        <f t="shared" si="6"/>
        <v>8.3299999999999999E-2</v>
      </c>
      <c r="N28" s="5">
        <f t="shared" si="6"/>
        <v>8.3700000000000011E-2</v>
      </c>
      <c r="O28" s="5">
        <f>SUM(C28:N28)</f>
        <v>1.0000000000000002</v>
      </c>
    </row>
    <row r="29" spans="1:15" x14ac:dyDescent="0.25">
      <c r="B29" t="s">
        <v>159</v>
      </c>
      <c r="C29" s="68">
        <v>8.3299999999999999E-2</v>
      </c>
      <c r="D29" s="68">
        <v>8.3299999999999999E-2</v>
      </c>
      <c r="E29" s="68">
        <v>8.3299999999999999E-2</v>
      </c>
      <c r="F29" s="68">
        <v>8.3299999999999999E-2</v>
      </c>
      <c r="G29" s="68">
        <v>8.3299999999999999E-2</v>
      </c>
      <c r="H29" s="68">
        <v>8.3299999999999999E-2</v>
      </c>
      <c r="I29" s="68">
        <v>8.3299999999999999E-2</v>
      </c>
      <c r="J29" s="68">
        <v>8.3299999999999999E-2</v>
      </c>
      <c r="K29" s="68">
        <v>8.3299999999999999E-2</v>
      </c>
      <c r="L29" s="68">
        <v>8.3299999999999999E-2</v>
      </c>
      <c r="M29" s="68">
        <v>8.3299999999999999E-2</v>
      </c>
      <c r="N29" s="7">
        <f>1-SUM(C29:M29)</f>
        <v>8.3699999999999886E-2</v>
      </c>
      <c r="O29" s="5">
        <f>SUM(C29:N29)</f>
        <v>1</v>
      </c>
    </row>
    <row r="30" spans="1:15" x14ac:dyDescent="0.25">
      <c r="A30" t="str">
        <f>'Prior year summary'!A18</f>
        <v>Fertilizer</v>
      </c>
      <c r="B30" t="s">
        <v>158</v>
      </c>
      <c r="C30" s="52">
        <f>'Prior year summary'!$C18*0.0833</f>
        <v>206584</v>
      </c>
      <c r="D30" s="52">
        <f>'Prior year summary'!$C18*0.0833</f>
        <v>206584</v>
      </c>
      <c r="E30" s="52">
        <f>'Prior year summary'!$C18*0.0833</f>
        <v>206584</v>
      </c>
      <c r="F30" s="52">
        <f>'Prior year summary'!$C18*0.0833</f>
        <v>206584</v>
      </c>
      <c r="G30" s="52">
        <f>'Prior year summary'!$C18*0.0833</f>
        <v>206584</v>
      </c>
      <c r="H30" s="52">
        <f>'Prior year summary'!$C18*0.0833</f>
        <v>206584</v>
      </c>
      <c r="I30" s="52">
        <f>'Prior year summary'!$C18*0.0833</f>
        <v>206584</v>
      </c>
      <c r="J30" s="52">
        <f>'Prior year summary'!$C18*0.0833</f>
        <v>206584</v>
      </c>
      <c r="K30" s="52">
        <f>'Prior year summary'!$C18*0.0833</f>
        <v>206584</v>
      </c>
      <c r="L30" s="52">
        <f>'Prior year summary'!$C18*0.0833</f>
        <v>206584</v>
      </c>
      <c r="M30" s="52">
        <f>'Prior year summary'!$C18*0.0833</f>
        <v>206584</v>
      </c>
      <c r="N30" s="2">
        <f>O30-SUM(C30:M30)</f>
        <v>207576</v>
      </c>
      <c r="O30" s="8">
        <f>'Prior year summary'!C18</f>
        <v>2480000</v>
      </c>
    </row>
    <row r="31" spans="1:15" x14ac:dyDescent="0.25">
      <c r="B31" t="s">
        <v>160</v>
      </c>
      <c r="C31" s="69">
        <f t="shared" ref="C31:N31" si="7">IF($O30&gt;0,C30/$O30,0)</f>
        <v>8.3299999999999999E-2</v>
      </c>
      <c r="D31" s="69">
        <f t="shared" si="7"/>
        <v>8.3299999999999999E-2</v>
      </c>
      <c r="E31" s="69">
        <f t="shared" si="7"/>
        <v>8.3299999999999999E-2</v>
      </c>
      <c r="F31" s="69">
        <f t="shared" si="7"/>
        <v>8.3299999999999999E-2</v>
      </c>
      <c r="G31" s="69">
        <f t="shared" si="7"/>
        <v>8.3299999999999999E-2</v>
      </c>
      <c r="H31" s="69">
        <f t="shared" si="7"/>
        <v>8.3299999999999999E-2</v>
      </c>
      <c r="I31" s="69">
        <f t="shared" si="7"/>
        <v>8.3299999999999999E-2</v>
      </c>
      <c r="J31" s="69">
        <f t="shared" si="7"/>
        <v>8.3299999999999999E-2</v>
      </c>
      <c r="K31" s="69">
        <f t="shared" si="7"/>
        <v>8.3299999999999999E-2</v>
      </c>
      <c r="L31" s="69">
        <f t="shared" si="7"/>
        <v>8.3299999999999999E-2</v>
      </c>
      <c r="M31" s="69">
        <f t="shared" si="7"/>
        <v>8.3299999999999999E-2</v>
      </c>
      <c r="N31" s="5">
        <f t="shared" si="7"/>
        <v>8.3699999999999997E-2</v>
      </c>
      <c r="O31" s="5">
        <f>SUM(C31:N31)</f>
        <v>1</v>
      </c>
    </row>
    <row r="32" spans="1:15" x14ac:dyDescent="0.25">
      <c r="B32" t="s">
        <v>159</v>
      </c>
      <c r="C32" s="68">
        <v>8.3299999999999999E-2</v>
      </c>
      <c r="D32" s="68">
        <v>8.3299999999999999E-2</v>
      </c>
      <c r="E32" s="68">
        <v>8.3299999999999999E-2</v>
      </c>
      <c r="F32" s="68">
        <v>8.3299999999999999E-2</v>
      </c>
      <c r="G32" s="68">
        <v>8.3299999999999999E-2</v>
      </c>
      <c r="H32" s="68">
        <v>8.3299999999999999E-2</v>
      </c>
      <c r="I32" s="68">
        <v>8.3299999999999999E-2</v>
      </c>
      <c r="J32" s="68">
        <v>8.3299999999999999E-2</v>
      </c>
      <c r="K32" s="68">
        <v>8.3299999999999999E-2</v>
      </c>
      <c r="L32" s="68">
        <v>8.3299999999999999E-2</v>
      </c>
      <c r="M32" s="68">
        <v>8.3299999999999999E-2</v>
      </c>
      <c r="N32" s="7">
        <f>1-SUM(C32:M32)</f>
        <v>8.3699999999999886E-2</v>
      </c>
      <c r="O32" s="5">
        <f>SUM(C32:N32)</f>
        <v>1</v>
      </c>
    </row>
    <row r="33" spans="1:15" x14ac:dyDescent="0.25">
      <c r="A33" t="str">
        <f>'Prior year summary'!A19</f>
        <v>Lime</v>
      </c>
      <c r="B33" t="s">
        <v>158</v>
      </c>
      <c r="C33" s="52">
        <f>'Prior year summary'!$C19*0.0833</f>
        <v>38624.460699999996</v>
      </c>
      <c r="D33" s="52">
        <v>38624.460699999996</v>
      </c>
      <c r="E33" s="52">
        <v>38624.460699999996</v>
      </c>
      <c r="F33" s="52">
        <v>38624.460699999996</v>
      </c>
      <c r="G33" s="52">
        <v>38624.460699999996</v>
      </c>
      <c r="H33" s="52">
        <v>38624.460699999996</v>
      </c>
      <c r="I33" s="52">
        <v>38624.460699999996</v>
      </c>
      <c r="J33" s="52">
        <v>38624.460699999996</v>
      </c>
      <c r="K33" s="52">
        <v>38624.460699999996</v>
      </c>
      <c r="L33" s="52">
        <v>38624.460699999996</v>
      </c>
      <c r="M33" s="52">
        <v>38624.460699999996</v>
      </c>
      <c r="N33" s="2">
        <f>O33-SUM(C33:M33)</f>
        <v>38809.932300000044</v>
      </c>
      <c r="O33" s="6">
        <f>'Prior year summary'!C19</f>
        <v>463679</v>
      </c>
    </row>
    <row r="34" spans="1:15" x14ac:dyDescent="0.25">
      <c r="B34" t="s">
        <v>160</v>
      </c>
      <c r="C34" s="69">
        <f t="shared" ref="C34:N34" si="8">IF($O33&gt;0,C33/$O33,0)</f>
        <v>8.3299999999999985E-2</v>
      </c>
      <c r="D34" s="69">
        <f t="shared" si="8"/>
        <v>8.3299999999999985E-2</v>
      </c>
      <c r="E34" s="69">
        <f t="shared" si="8"/>
        <v>8.3299999999999985E-2</v>
      </c>
      <c r="F34" s="69">
        <f t="shared" si="8"/>
        <v>8.3299999999999985E-2</v>
      </c>
      <c r="G34" s="69">
        <f t="shared" si="8"/>
        <v>8.3299999999999985E-2</v>
      </c>
      <c r="H34" s="69">
        <f t="shared" si="8"/>
        <v>8.3299999999999985E-2</v>
      </c>
      <c r="I34" s="69">
        <f t="shared" si="8"/>
        <v>8.3299999999999985E-2</v>
      </c>
      <c r="J34" s="69">
        <f t="shared" si="8"/>
        <v>8.3299999999999985E-2</v>
      </c>
      <c r="K34" s="69">
        <f t="shared" si="8"/>
        <v>8.3299999999999985E-2</v>
      </c>
      <c r="L34" s="69">
        <f t="shared" si="8"/>
        <v>8.3299999999999985E-2</v>
      </c>
      <c r="M34" s="69">
        <f t="shared" si="8"/>
        <v>8.3299999999999985E-2</v>
      </c>
      <c r="N34" s="5">
        <f t="shared" si="8"/>
        <v>8.3700000000000094E-2</v>
      </c>
      <c r="O34" s="5">
        <f>SUM(C34:N34)</f>
        <v>0.99999999999999978</v>
      </c>
    </row>
    <row r="35" spans="1:15" x14ac:dyDescent="0.25">
      <c r="B35" t="s">
        <v>159</v>
      </c>
      <c r="C35" s="68">
        <v>8.3299999999999999E-2</v>
      </c>
      <c r="D35" s="68">
        <v>8.3299999999999999E-2</v>
      </c>
      <c r="E35" s="68">
        <v>8.3299999999999999E-2</v>
      </c>
      <c r="F35" s="68">
        <v>8.3299999999999999E-2</v>
      </c>
      <c r="G35" s="68">
        <v>8.3299999999999999E-2</v>
      </c>
      <c r="H35" s="68">
        <v>8.3299999999999999E-2</v>
      </c>
      <c r="I35" s="68">
        <v>8.3299999999999999E-2</v>
      </c>
      <c r="J35" s="68">
        <v>8.3299999999999999E-2</v>
      </c>
      <c r="K35" s="68">
        <v>8.3299999999999999E-2</v>
      </c>
      <c r="L35" s="68">
        <v>8.3299999999999999E-2</v>
      </c>
      <c r="M35" s="68">
        <v>8.3299999999999999E-2</v>
      </c>
      <c r="N35" s="7">
        <f>1-SUM(C35:M35)</f>
        <v>8.3699999999999886E-2</v>
      </c>
      <c r="O35" s="5">
        <f>SUM(C35:N35)</f>
        <v>1</v>
      </c>
    </row>
    <row r="36" spans="1:15" x14ac:dyDescent="0.25">
      <c r="A36" t="str">
        <f>'Prior year summary'!A20</f>
        <v>Propane</v>
      </c>
      <c r="B36" t="s">
        <v>158</v>
      </c>
      <c r="C36" s="52">
        <f>'Prior year summary'!$C20*0.0833</f>
        <v>15569.8529</v>
      </c>
      <c r="D36" s="52">
        <v>15569.8529</v>
      </c>
      <c r="E36" s="52">
        <v>15569.8529</v>
      </c>
      <c r="F36" s="52">
        <v>15569.8529</v>
      </c>
      <c r="G36" s="52">
        <v>15569.8529</v>
      </c>
      <c r="H36" s="52">
        <v>15569.8529</v>
      </c>
      <c r="I36" s="52">
        <v>15569.8529</v>
      </c>
      <c r="J36" s="52">
        <v>15569.8529</v>
      </c>
      <c r="K36" s="52">
        <v>15569.8529</v>
      </c>
      <c r="L36" s="52">
        <v>15569.8529</v>
      </c>
      <c r="M36" s="52">
        <v>15569.8529</v>
      </c>
      <c r="N36" s="2">
        <f>O36-SUM(C36:M36)</f>
        <v>15644.618099999992</v>
      </c>
      <c r="O36" s="8">
        <f>'Prior year summary'!C20</f>
        <v>186913</v>
      </c>
    </row>
    <row r="37" spans="1:15" x14ac:dyDescent="0.25">
      <c r="B37" t="s">
        <v>160</v>
      </c>
      <c r="C37" s="69">
        <f t="shared" ref="C37:N37" si="9">IF($O36&gt;0,C36/$O36,0)</f>
        <v>8.3299999999999999E-2</v>
      </c>
      <c r="D37" s="69">
        <f t="shared" si="9"/>
        <v>8.3299999999999999E-2</v>
      </c>
      <c r="E37" s="69">
        <f t="shared" si="9"/>
        <v>8.3299999999999999E-2</v>
      </c>
      <c r="F37" s="69">
        <f t="shared" si="9"/>
        <v>8.3299999999999999E-2</v>
      </c>
      <c r="G37" s="69">
        <f t="shared" si="9"/>
        <v>8.3299999999999999E-2</v>
      </c>
      <c r="H37" s="69">
        <f t="shared" si="9"/>
        <v>8.3299999999999999E-2</v>
      </c>
      <c r="I37" s="69">
        <f t="shared" si="9"/>
        <v>8.3299999999999999E-2</v>
      </c>
      <c r="J37" s="69">
        <f t="shared" si="9"/>
        <v>8.3299999999999999E-2</v>
      </c>
      <c r="K37" s="69">
        <f t="shared" si="9"/>
        <v>8.3299999999999999E-2</v>
      </c>
      <c r="L37" s="69">
        <f t="shared" si="9"/>
        <v>8.3299999999999999E-2</v>
      </c>
      <c r="M37" s="69">
        <f t="shared" si="9"/>
        <v>8.3299999999999999E-2</v>
      </c>
      <c r="N37" s="5">
        <f t="shared" si="9"/>
        <v>8.3699999999999955E-2</v>
      </c>
      <c r="O37" s="5">
        <f>SUM(C37:N37)</f>
        <v>1</v>
      </c>
    </row>
    <row r="38" spans="1:15" x14ac:dyDescent="0.25">
      <c r="B38" t="s">
        <v>159</v>
      </c>
      <c r="C38" s="68">
        <v>8.3299999999999999E-2</v>
      </c>
      <c r="D38" s="68">
        <v>8.3299999999999999E-2</v>
      </c>
      <c r="E38" s="68">
        <v>8.3299999999999999E-2</v>
      </c>
      <c r="F38" s="68">
        <v>8.3299999999999999E-2</v>
      </c>
      <c r="G38" s="68">
        <v>8.3299999999999999E-2</v>
      </c>
      <c r="H38" s="68">
        <v>8.3299999999999999E-2</v>
      </c>
      <c r="I38" s="68">
        <v>8.3299999999999999E-2</v>
      </c>
      <c r="J38" s="68">
        <v>8.3299999999999999E-2</v>
      </c>
      <c r="K38" s="68">
        <v>8.3299999999999999E-2</v>
      </c>
      <c r="L38" s="68">
        <v>8.3299999999999999E-2</v>
      </c>
      <c r="M38" s="68">
        <v>8.3299999999999999E-2</v>
      </c>
      <c r="N38" s="7">
        <f>1-SUM(C38:M38)</f>
        <v>8.3699999999999886E-2</v>
      </c>
      <c r="O38" s="5">
        <f>SUM(C38:N38)</f>
        <v>1</v>
      </c>
    </row>
    <row r="39" spans="1:15" x14ac:dyDescent="0.25">
      <c r="A39" t="str">
        <f>'Prior year summary'!A21</f>
        <v>Gasoline</v>
      </c>
      <c r="B39" t="s">
        <v>158</v>
      </c>
      <c r="C39" s="52">
        <f>'Prior year summary'!$C21*0.0833</f>
        <v>124950</v>
      </c>
      <c r="D39" s="52">
        <f>'Prior year summary'!$C21*0.0833</f>
        <v>124950</v>
      </c>
      <c r="E39" s="52">
        <f>'Prior year summary'!$C21*0.0833</f>
        <v>124950</v>
      </c>
      <c r="F39" s="52">
        <f>'Prior year summary'!$C21*0.0833</f>
        <v>124950</v>
      </c>
      <c r="G39" s="52">
        <f>'Prior year summary'!$C21*0.0833</f>
        <v>124950</v>
      </c>
      <c r="H39" s="52">
        <f>'Prior year summary'!$C21*0.0833</f>
        <v>124950</v>
      </c>
      <c r="I39" s="52">
        <f>'Prior year summary'!$C21*0.0833</f>
        <v>124950</v>
      </c>
      <c r="J39" s="52">
        <f>'Prior year summary'!$C21*0.0833</f>
        <v>124950</v>
      </c>
      <c r="K39" s="52">
        <f>'Prior year summary'!$C21*0.0833</f>
        <v>124950</v>
      </c>
      <c r="L39" s="52">
        <f>'Prior year summary'!$C21*0.0833</f>
        <v>124950</v>
      </c>
      <c r="M39" s="52">
        <f>'Prior year summary'!$C21*0.0833</f>
        <v>124950</v>
      </c>
      <c r="N39" s="2">
        <f>O39-SUM(C39:M39)</f>
        <v>125550</v>
      </c>
      <c r="O39" s="6">
        <f>'Prior year summary'!C21</f>
        <v>1500000</v>
      </c>
    </row>
    <row r="40" spans="1:15" x14ac:dyDescent="0.25">
      <c r="B40" t="s">
        <v>160</v>
      </c>
      <c r="C40" s="70">
        <f t="shared" ref="C40:N40" si="10">IF($O39&gt;0,C39/$O39,0)</f>
        <v>8.3299999999999999E-2</v>
      </c>
      <c r="D40" s="70">
        <f t="shared" si="10"/>
        <v>8.3299999999999999E-2</v>
      </c>
      <c r="E40" s="70">
        <f t="shared" si="10"/>
        <v>8.3299999999999999E-2</v>
      </c>
      <c r="F40" s="70">
        <f t="shared" si="10"/>
        <v>8.3299999999999999E-2</v>
      </c>
      <c r="G40" s="70">
        <f t="shared" si="10"/>
        <v>8.3299999999999999E-2</v>
      </c>
      <c r="H40" s="70">
        <f t="shared" si="10"/>
        <v>8.3299999999999999E-2</v>
      </c>
      <c r="I40" s="70">
        <f t="shared" si="10"/>
        <v>8.3299999999999999E-2</v>
      </c>
      <c r="J40" s="70">
        <f t="shared" si="10"/>
        <v>8.3299999999999999E-2</v>
      </c>
      <c r="K40" s="70">
        <f t="shared" si="10"/>
        <v>8.3299999999999999E-2</v>
      </c>
      <c r="L40" s="70">
        <f t="shared" si="10"/>
        <v>8.3299999999999999E-2</v>
      </c>
      <c r="M40" s="70">
        <f t="shared" si="10"/>
        <v>8.3299999999999999E-2</v>
      </c>
      <c r="N40" s="5">
        <f t="shared" si="10"/>
        <v>8.3699999999999997E-2</v>
      </c>
      <c r="O40" s="5">
        <f>SUM(C40:N40)</f>
        <v>1</v>
      </c>
    </row>
    <row r="41" spans="1:15" x14ac:dyDescent="0.25">
      <c r="B41" t="s">
        <v>159</v>
      </c>
      <c r="C41" s="71">
        <v>8.3299999999999999E-2</v>
      </c>
      <c r="D41" s="71">
        <v>8.3299999999999999E-2</v>
      </c>
      <c r="E41" s="71">
        <v>8.3299999999999999E-2</v>
      </c>
      <c r="F41" s="71">
        <v>8.3299999999999999E-2</v>
      </c>
      <c r="G41" s="71">
        <v>8.3299999999999999E-2</v>
      </c>
      <c r="H41" s="71">
        <v>8.3299999999999999E-2</v>
      </c>
      <c r="I41" s="71">
        <v>8.3299999999999999E-2</v>
      </c>
      <c r="J41" s="71">
        <v>8.3299999999999999E-2</v>
      </c>
      <c r="K41" s="71">
        <v>8.3299999999999999E-2</v>
      </c>
      <c r="L41" s="71">
        <v>8.3299999999999999E-2</v>
      </c>
      <c r="M41" s="71">
        <v>8.3299999999999999E-2</v>
      </c>
      <c r="N41" s="7">
        <f>1-SUM(C41:M41)</f>
        <v>8.3699999999999886E-2</v>
      </c>
      <c r="O41" s="5">
        <f>SUM(C41:N41)</f>
        <v>1</v>
      </c>
    </row>
    <row r="42" spans="1:15" x14ac:dyDescent="0.25">
      <c r="A42" t="str">
        <f>'Prior year summary'!A22</f>
        <v>Diesel</v>
      </c>
      <c r="B42" t="s">
        <v>158</v>
      </c>
      <c r="C42" s="1">
        <f>'Prior year summary'!$C22*0.0833</f>
        <v>617136.79649999994</v>
      </c>
      <c r="D42" s="1">
        <f>'Prior year summary'!$C22*0.0833</f>
        <v>617136.79649999994</v>
      </c>
      <c r="E42" s="1">
        <f>'Prior year summary'!$C22*0.0833</f>
        <v>617136.79649999994</v>
      </c>
      <c r="F42" s="1">
        <f>'Prior year summary'!$C22*0.0833</f>
        <v>617136.79649999994</v>
      </c>
      <c r="G42" s="1">
        <f>'Prior year summary'!$C22*0.0833</f>
        <v>617136.79649999994</v>
      </c>
      <c r="H42" s="1">
        <f>'Prior year summary'!$C22*0.0833</f>
        <v>617136.79649999994</v>
      </c>
      <c r="I42" s="1">
        <f>'Prior year summary'!$C22*0.0833</f>
        <v>617136.79649999994</v>
      </c>
      <c r="J42" s="1">
        <f>'Prior year summary'!$C22*0.0833</f>
        <v>617136.79649999994</v>
      </c>
      <c r="K42" s="1">
        <f>'Prior year summary'!$C22*0.0833</f>
        <v>617136.79649999994</v>
      </c>
      <c r="L42" s="1">
        <f>'Prior year summary'!$C22*0.0833</f>
        <v>617136.79649999994</v>
      </c>
      <c r="M42" s="1">
        <f>'Prior year summary'!$C22*0.0833</f>
        <v>617136.79649999994</v>
      </c>
      <c r="N42" s="2">
        <f>O42-SUM(C42:M42)</f>
        <v>620100.23849999905</v>
      </c>
      <c r="O42" s="8">
        <f>'Prior year summary'!C22</f>
        <v>7408605</v>
      </c>
    </row>
    <row r="43" spans="1:15" x14ac:dyDescent="0.25">
      <c r="B43" t="s">
        <v>160</v>
      </c>
      <c r="C43" s="70">
        <f t="shared" ref="C43:N43" si="11">IF($O42&gt;0,C42/$O42,0)</f>
        <v>8.3299999999999985E-2</v>
      </c>
      <c r="D43" s="70">
        <f t="shared" si="11"/>
        <v>8.3299999999999985E-2</v>
      </c>
      <c r="E43" s="70">
        <f t="shared" si="11"/>
        <v>8.3299999999999985E-2</v>
      </c>
      <c r="F43" s="70">
        <f t="shared" si="11"/>
        <v>8.3299999999999985E-2</v>
      </c>
      <c r="G43" s="70">
        <f t="shared" si="11"/>
        <v>8.3299999999999985E-2</v>
      </c>
      <c r="H43" s="70">
        <f t="shared" si="11"/>
        <v>8.3299999999999985E-2</v>
      </c>
      <c r="I43" s="70">
        <f t="shared" si="11"/>
        <v>8.3299999999999985E-2</v>
      </c>
      <c r="J43" s="70">
        <f t="shared" si="11"/>
        <v>8.3299999999999985E-2</v>
      </c>
      <c r="K43" s="70">
        <f t="shared" si="11"/>
        <v>8.3299999999999985E-2</v>
      </c>
      <c r="L43" s="70">
        <f t="shared" si="11"/>
        <v>8.3299999999999985E-2</v>
      </c>
      <c r="M43" s="70">
        <f t="shared" si="11"/>
        <v>8.3299999999999985E-2</v>
      </c>
      <c r="N43" s="5">
        <f t="shared" si="11"/>
        <v>8.3699999999999872E-2</v>
      </c>
      <c r="O43" s="5">
        <f>SUM(C43:N43)</f>
        <v>0.99999999999999956</v>
      </c>
    </row>
    <row r="44" spans="1:15" x14ac:dyDescent="0.25">
      <c r="B44" t="s">
        <v>159</v>
      </c>
      <c r="C44" s="68">
        <v>8.3299999999999999E-2</v>
      </c>
      <c r="D44" s="68">
        <v>8.3299999999999999E-2</v>
      </c>
      <c r="E44" s="68">
        <v>8.3299999999999999E-2</v>
      </c>
      <c r="F44" s="68">
        <v>8.3299999999999999E-2</v>
      </c>
      <c r="G44" s="68">
        <v>8.3299999999999999E-2</v>
      </c>
      <c r="H44" s="68">
        <v>8.3299999999999999E-2</v>
      </c>
      <c r="I44" s="68">
        <v>8.3299999999999999E-2</v>
      </c>
      <c r="J44" s="68">
        <v>8.3299999999999999E-2</v>
      </c>
      <c r="K44" s="68">
        <v>8.3299999999999999E-2</v>
      </c>
      <c r="L44" s="68">
        <v>8.3299999999999999E-2</v>
      </c>
      <c r="M44" s="68">
        <v>8.3299999999999999E-2</v>
      </c>
      <c r="N44" s="7">
        <f>1-SUM(C44:M44)</f>
        <v>8.3699999999999886E-2</v>
      </c>
      <c r="O44" s="5">
        <f>SUM(C44:N44)</f>
        <v>1</v>
      </c>
    </row>
    <row r="45" spans="1:15" x14ac:dyDescent="0.25">
      <c r="A45" t="str">
        <f>'Prior year summary'!A23</f>
        <v>FS 7</v>
      </c>
      <c r="B45" t="s">
        <v>158</v>
      </c>
      <c r="C45" s="52">
        <f>'Prior year summary'!$C23*0.0833</f>
        <v>0</v>
      </c>
      <c r="D45" s="52">
        <v>0</v>
      </c>
      <c r="E45" s="52">
        <v>0</v>
      </c>
      <c r="F45" s="52">
        <v>0</v>
      </c>
      <c r="G45" s="52">
        <v>0</v>
      </c>
      <c r="H45" s="52">
        <v>0</v>
      </c>
      <c r="I45" s="52">
        <v>0</v>
      </c>
      <c r="J45" s="52">
        <v>0</v>
      </c>
      <c r="K45" s="52">
        <v>0</v>
      </c>
      <c r="L45" s="52">
        <v>0</v>
      </c>
      <c r="M45" s="52">
        <v>0</v>
      </c>
      <c r="N45" s="2">
        <f>O45-SUM(C45:M45)</f>
        <v>0</v>
      </c>
      <c r="O45" s="6">
        <f>'Prior year summary'!C23</f>
        <v>0</v>
      </c>
    </row>
    <row r="46" spans="1:15" x14ac:dyDescent="0.25">
      <c r="B46" t="s">
        <v>160</v>
      </c>
      <c r="C46" s="10">
        <f t="shared" ref="C46:N46" si="12">IF($O45&gt;0,C45/$O45,0)</f>
        <v>0</v>
      </c>
      <c r="D46" s="10">
        <f t="shared" si="12"/>
        <v>0</v>
      </c>
      <c r="E46" s="10">
        <f t="shared" si="12"/>
        <v>0</v>
      </c>
      <c r="F46" s="10">
        <f t="shared" si="12"/>
        <v>0</v>
      </c>
      <c r="G46" s="10">
        <f t="shared" si="12"/>
        <v>0</v>
      </c>
      <c r="H46" s="10">
        <f t="shared" si="12"/>
        <v>0</v>
      </c>
      <c r="I46" s="10">
        <f t="shared" si="12"/>
        <v>0</v>
      </c>
      <c r="J46" s="10">
        <f t="shared" si="12"/>
        <v>0</v>
      </c>
      <c r="K46" s="10">
        <f t="shared" si="12"/>
        <v>0</v>
      </c>
      <c r="L46" s="10">
        <f t="shared" si="12"/>
        <v>0</v>
      </c>
      <c r="M46" s="10">
        <f t="shared" si="12"/>
        <v>0</v>
      </c>
      <c r="N46" s="5">
        <f t="shared" si="12"/>
        <v>0</v>
      </c>
      <c r="O46" s="5">
        <f>SUM(C46:N46)</f>
        <v>0</v>
      </c>
    </row>
    <row r="47" spans="1:15" x14ac:dyDescent="0.25">
      <c r="B47" t="s">
        <v>159</v>
      </c>
      <c r="C47" s="68">
        <v>8.3299999999999999E-2</v>
      </c>
      <c r="D47" s="68">
        <v>8.3299999999999999E-2</v>
      </c>
      <c r="E47" s="68">
        <v>8.3299999999999999E-2</v>
      </c>
      <c r="F47" s="68">
        <v>8.3299999999999999E-2</v>
      </c>
      <c r="G47" s="68">
        <v>8.3299999999999999E-2</v>
      </c>
      <c r="H47" s="68">
        <v>8.3299999999999999E-2</v>
      </c>
      <c r="I47" s="68">
        <v>8.3299999999999999E-2</v>
      </c>
      <c r="J47" s="68">
        <v>8.3299999999999999E-2</v>
      </c>
      <c r="K47" s="68">
        <v>8.3299999999999999E-2</v>
      </c>
      <c r="L47" s="68">
        <v>8.3299999999999999E-2</v>
      </c>
      <c r="M47" s="68">
        <v>8.3299999999999999E-2</v>
      </c>
      <c r="N47" s="7">
        <f>1-SUM(C47:M47)</f>
        <v>8.3699999999999886E-2</v>
      </c>
      <c r="O47" s="5">
        <f>SUM(C47:N47)</f>
        <v>1</v>
      </c>
    </row>
    <row r="48" spans="1:15" x14ac:dyDescent="0.25">
      <c r="A48" t="str">
        <f>'Prior year summary'!A24</f>
        <v>Chemical</v>
      </c>
      <c r="B48" t="s">
        <v>158</v>
      </c>
      <c r="C48" s="52">
        <f>'Prior year summary'!$C24*0.0833</f>
        <v>257921.87330000001</v>
      </c>
      <c r="D48" s="52">
        <f>'Prior year summary'!$C24*0.0833</f>
        <v>257921.87330000001</v>
      </c>
      <c r="E48" s="52">
        <f>'Prior year summary'!$C24*0.0833</f>
        <v>257921.87330000001</v>
      </c>
      <c r="F48" s="52">
        <f>'Prior year summary'!$C24*0.0833</f>
        <v>257921.87330000001</v>
      </c>
      <c r="G48" s="52">
        <f>'Prior year summary'!$C24*0.0833</f>
        <v>257921.87330000001</v>
      </c>
      <c r="H48" s="52">
        <f>'Prior year summary'!$C24*0.0833</f>
        <v>257921.87330000001</v>
      </c>
      <c r="I48" s="52">
        <f>'Prior year summary'!$C24*0.0833</f>
        <v>257921.87330000001</v>
      </c>
      <c r="J48" s="52">
        <f>'Prior year summary'!$C24*0.0833</f>
        <v>257921.87330000001</v>
      </c>
      <c r="K48" s="52">
        <f>'Prior year summary'!$C24*0.0833</f>
        <v>257921.87330000001</v>
      </c>
      <c r="L48" s="52">
        <f>'Prior year summary'!$C24*0.0833</f>
        <v>257921.87330000001</v>
      </c>
      <c r="M48" s="52">
        <f>'Prior year summary'!$C24*0.0833</f>
        <v>257921.87330000001</v>
      </c>
      <c r="N48" s="2">
        <f>O48-SUM(C48:M48)</f>
        <v>259160.39369999943</v>
      </c>
      <c r="O48" s="8">
        <f>'Prior year summary'!C24</f>
        <v>3096301</v>
      </c>
    </row>
    <row r="49" spans="1:15" x14ac:dyDescent="0.25">
      <c r="B49" t="s">
        <v>160</v>
      </c>
      <c r="C49" s="10">
        <f t="shared" ref="C49:N49" si="13">IF($O48&gt;0,C48/$O48,0)</f>
        <v>8.3299999999999999E-2</v>
      </c>
      <c r="D49" s="10">
        <f t="shared" si="13"/>
        <v>8.3299999999999999E-2</v>
      </c>
      <c r="E49" s="10">
        <f t="shared" si="13"/>
        <v>8.3299999999999999E-2</v>
      </c>
      <c r="F49" s="10">
        <f t="shared" si="13"/>
        <v>8.3299999999999999E-2</v>
      </c>
      <c r="G49" s="10">
        <f t="shared" si="13"/>
        <v>8.3299999999999999E-2</v>
      </c>
      <c r="H49" s="10">
        <f t="shared" si="13"/>
        <v>8.3299999999999999E-2</v>
      </c>
      <c r="I49" s="10">
        <f t="shared" si="13"/>
        <v>8.3299999999999999E-2</v>
      </c>
      <c r="J49" s="10">
        <f t="shared" si="13"/>
        <v>8.3299999999999999E-2</v>
      </c>
      <c r="K49" s="10">
        <f t="shared" si="13"/>
        <v>8.3299999999999999E-2</v>
      </c>
      <c r="L49" s="10">
        <f t="shared" si="13"/>
        <v>8.3299999999999999E-2</v>
      </c>
      <c r="M49" s="10">
        <f t="shared" si="13"/>
        <v>8.3299999999999999E-2</v>
      </c>
      <c r="N49" s="5">
        <f t="shared" si="13"/>
        <v>8.3699999999999816E-2</v>
      </c>
      <c r="O49" s="5">
        <f>SUM(C49:N49)</f>
        <v>0.99999999999999989</v>
      </c>
    </row>
    <row r="50" spans="1:15" x14ac:dyDescent="0.25">
      <c r="B50" t="s">
        <v>159</v>
      </c>
      <c r="C50" s="68">
        <v>8.3299999999999999E-2</v>
      </c>
      <c r="D50" s="68">
        <v>8.3299999999999999E-2</v>
      </c>
      <c r="E50" s="68">
        <v>8.3299999999999999E-2</v>
      </c>
      <c r="F50" s="68">
        <v>8.3299999999999999E-2</v>
      </c>
      <c r="G50" s="68">
        <v>8.3299999999999999E-2</v>
      </c>
      <c r="H50" s="68">
        <v>8.3299999999999999E-2</v>
      </c>
      <c r="I50" s="68">
        <v>8.3299999999999999E-2</v>
      </c>
      <c r="J50" s="68">
        <v>8.3299999999999999E-2</v>
      </c>
      <c r="K50" s="68">
        <v>8.3299999999999999E-2</v>
      </c>
      <c r="L50" s="68">
        <v>8.3299999999999999E-2</v>
      </c>
      <c r="M50" s="68">
        <v>8.3299999999999999E-2</v>
      </c>
      <c r="N50" s="7">
        <f>1-SUM(C50:M50)</f>
        <v>8.3699999999999886E-2</v>
      </c>
      <c r="O50" s="5">
        <f>SUM(C50:N50)</f>
        <v>1</v>
      </c>
    </row>
    <row r="51" spans="1:15" x14ac:dyDescent="0.25">
      <c r="A51" t="str">
        <f>'Prior year summary'!A25</f>
        <v>Seed</v>
      </c>
      <c r="B51" t="s">
        <v>158</v>
      </c>
      <c r="C51" s="52">
        <f>'Prior year summary'!$C25*0.0833</f>
        <v>45110.948400000001</v>
      </c>
      <c r="D51" s="52">
        <v>45110.948400000001</v>
      </c>
      <c r="E51" s="52">
        <v>45110.948400000001</v>
      </c>
      <c r="F51" s="52">
        <v>45110.948400000001</v>
      </c>
      <c r="G51" s="52">
        <v>45110.948400000001</v>
      </c>
      <c r="H51" s="52">
        <v>45110.948400000001</v>
      </c>
      <c r="I51" s="52">
        <v>45110.948400000001</v>
      </c>
      <c r="J51" s="52">
        <v>45110.948400000001</v>
      </c>
      <c r="K51" s="52">
        <v>45110.948400000001</v>
      </c>
      <c r="L51" s="52">
        <v>45110.948400000001</v>
      </c>
      <c r="M51" s="52">
        <v>45110.948400000001</v>
      </c>
      <c r="N51" s="2">
        <f>O51-SUM(C51:M51)</f>
        <v>45327.567600000009</v>
      </c>
      <c r="O51" s="6">
        <f>'Prior year summary'!C25</f>
        <v>541548</v>
      </c>
    </row>
    <row r="52" spans="1:15" x14ac:dyDescent="0.25">
      <c r="B52" t="s">
        <v>160</v>
      </c>
      <c r="C52" s="10">
        <f t="shared" ref="C52:N52" si="14">IF($O51&gt;0,C51/$O51,0)</f>
        <v>8.3299999999999999E-2</v>
      </c>
      <c r="D52" s="10">
        <f t="shared" si="14"/>
        <v>8.3299999999999999E-2</v>
      </c>
      <c r="E52" s="10">
        <f t="shared" si="14"/>
        <v>8.3299999999999999E-2</v>
      </c>
      <c r="F52" s="10">
        <f t="shared" si="14"/>
        <v>8.3299999999999999E-2</v>
      </c>
      <c r="G52" s="10">
        <f t="shared" si="14"/>
        <v>8.3299999999999999E-2</v>
      </c>
      <c r="H52" s="10">
        <f t="shared" si="14"/>
        <v>8.3299999999999999E-2</v>
      </c>
      <c r="I52" s="10">
        <f t="shared" si="14"/>
        <v>8.3299999999999999E-2</v>
      </c>
      <c r="J52" s="10">
        <f t="shared" si="14"/>
        <v>8.3299999999999999E-2</v>
      </c>
      <c r="K52" s="10">
        <f t="shared" si="14"/>
        <v>8.3299999999999999E-2</v>
      </c>
      <c r="L52" s="10">
        <f t="shared" si="14"/>
        <v>8.3299999999999999E-2</v>
      </c>
      <c r="M52" s="10">
        <f t="shared" si="14"/>
        <v>8.3299999999999999E-2</v>
      </c>
      <c r="N52" s="5">
        <f t="shared" si="14"/>
        <v>8.3700000000000011E-2</v>
      </c>
      <c r="O52" s="5">
        <f>SUM(C52:N52)</f>
        <v>1.0000000000000002</v>
      </c>
    </row>
    <row r="53" spans="1:15" x14ac:dyDescent="0.25">
      <c r="B53" t="s">
        <v>159</v>
      </c>
      <c r="C53" s="68">
        <v>8.3299999999999999E-2</v>
      </c>
      <c r="D53" s="68">
        <v>8.3299999999999999E-2</v>
      </c>
      <c r="E53" s="68">
        <v>8.3299999999999999E-2</v>
      </c>
      <c r="F53" s="68">
        <v>8.3299999999999999E-2</v>
      </c>
      <c r="G53" s="68">
        <v>8.3299999999999999E-2</v>
      </c>
      <c r="H53" s="68">
        <v>8.3299999999999999E-2</v>
      </c>
      <c r="I53" s="68">
        <v>8.3299999999999999E-2</v>
      </c>
      <c r="J53" s="68">
        <v>8.3299999999999999E-2</v>
      </c>
      <c r="K53" s="68">
        <v>8.3299999999999999E-2</v>
      </c>
      <c r="L53" s="68">
        <v>8.3299999999999999E-2</v>
      </c>
      <c r="M53" s="68">
        <v>8.3299999999999999E-2</v>
      </c>
      <c r="N53" s="7">
        <f>1-SUM(C53:M53)</f>
        <v>8.3699999999999886E-2</v>
      </c>
      <c r="O53" s="5">
        <f>SUM(C53:N53)</f>
        <v>1</v>
      </c>
    </row>
    <row r="54" spans="1:15" x14ac:dyDescent="0.25">
      <c r="A54" t="str">
        <f>'Prior year summary'!A26</f>
        <v>Oil and grease</v>
      </c>
      <c r="B54" t="s">
        <v>158</v>
      </c>
      <c r="C54" s="52">
        <f>'Prior year summary'!$C26*0.0833</f>
        <v>27163.7968</v>
      </c>
      <c r="D54" s="52">
        <v>27163.7968</v>
      </c>
      <c r="E54" s="52">
        <v>27163.7968</v>
      </c>
      <c r="F54" s="52">
        <v>27163.7968</v>
      </c>
      <c r="G54" s="52">
        <v>27163.7968</v>
      </c>
      <c r="H54" s="52">
        <v>27163.7968</v>
      </c>
      <c r="I54" s="52">
        <v>27163.7968</v>
      </c>
      <c r="J54" s="52">
        <v>27163.7968</v>
      </c>
      <c r="K54" s="52">
        <v>27163.7968</v>
      </c>
      <c r="L54" s="52">
        <v>27163.7968</v>
      </c>
      <c r="M54" s="52">
        <v>27163.7968</v>
      </c>
      <c r="N54" s="2">
        <f>O54-SUM(C54:M54)</f>
        <v>27294.235199999937</v>
      </c>
      <c r="O54" s="8">
        <f>'Prior year summary'!C26</f>
        <v>326096</v>
      </c>
    </row>
    <row r="55" spans="1:15" x14ac:dyDescent="0.25">
      <c r="B55" t="s">
        <v>160</v>
      </c>
      <c r="C55" s="10">
        <f t="shared" ref="C55:N55" si="15">IF($O54&gt;0,C54/$O54,0)</f>
        <v>8.3299999999999999E-2</v>
      </c>
      <c r="D55" s="10">
        <f t="shared" si="15"/>
        <v>8.3299999999999999E-2</v>
      </c>
      <c r="E55" s="10">
        <f t="shared" si="15"/>
        <v>8.3299999999999999E-2</v>
      </c>
      <c r="F55" s="10">
        <f t="shared" si="15"/>
        <v>8.3299999999999999E-2</v>
      </c>
      <c r="G55" s="10">
        <f t="shared" si="15"/>
        <v>8.3299999999999999E-2</v>
      </c>
      <c r="H55" s="10">
        <f t="shared" si="15"/>
        <v>8.3299999999999999E-2</v>
      </c>
      <c r="I55" s="10">
        <f t="shared" si="15"/>
        <v>8.3299999999999999E-2</v>
      </c>
      <c r="J55" s="10">
        <f t="shared" si="15"/>
        <v>8.3299999999999999E-2</v>
      </c>
      <c r="K55" s="10">
        <f t="shared" si="15"/>
        <v>8.3299999999999999E-2</v>
      </c>
      <c r="L55" s="10">
        <f t="shared" si="15"/>
        <v>8.3299999999999999E-2</v>
      </c>
      <c r="M55" s="10">
        <f t="shared" si="15"/>
        <v>8.3299999999999999E-2</v>
      </c>
      <c r="N55" s="5">
        <f t="shared" si="15"/>
        <v>8.3699999999999802E-2</v>
      </c>
      <c r="O55" s="5">
        <f>SUM(C55:N55)</f>
        <v>0.99999999999999989</v>
      </c>
    </row>
    <row r="56" spans="1:15" x14ac:dyDescent="0.25">
      <c r="B56" t="s">
        <v>159</v>
      </c>
      <c r="C56" s="68">
        <v>8.3299999999999999E-2</v>
      </c>
      <c r="D56" s="68">
        <v>8.3299999999999999E-2</v>
      </c>
      <c r="E56" s="68">
        <v>8.3299999999999999E-2</v>
      </c>
      <c r="F56" s="68">
        <v>8.3299999999999999E-2</v>
      </c>
      <c r="G56" s="68">
        <v>8.3299999999999999E-2</v>
      </c>
      <c r="H56" s="68">
        <v>8.3299999999999999E-2</v>
      </c>
      <c r="I56" s="68">
        <v>8.3299999999999999E-2</v>
      </c>
      <c r="J56" s="68">
        <v>8.3299999999999999E-2</v>
      </c>
      <c r="K56" s="68">
        <v>8.3299999999999999E-2</v>
      </c>
      <c r="L56" s="68">
        <v>8.3299999999999999E-2</v>
      </c>
      <c r="M56" s="68">
        <v>8.3299999999999999E-2</v>
      </c>
      <c r="N56" s="7">
        <f>1-SUM(C56:M56)</f>
        <v>8.3699999999999886E-2</v>
      </c>
      <c r="O56" s="5">
        <f>SUM(C56:N56)</f>
        <v>1</v>
      </c>
    </row>
    <row r="57" spans="1:15" x14ac:dyDescent="0.25">
      <c r="A57" t="str">
        <f>'Prior year summary'!A27</f>
        <v>Tires batteries and acces</v>
      </c>
      <c r="B57" t="s">
        <v>158</v>
      </c>
      <c r="C57" s="52">
        <f>'Prior year summary'!$C27*0.0833</f>
        <v>48139.8197</v>
      </c>
      <c r="D57" s="52">
        <v>48139.8197</v>
      </c>
      <c r="E57" s="52">
        <v>48139.8197</v>
      </c>
      <c r="F57" s="52">
        <v>48139.8197</v>
      </c>
      <c r="G57" s="52">
        <v>48139.8197</v>
      </c>
      <c r="H57" s="52">
        <v>48139.8197</v>
      </c>
      <c r="I57" s="52">
        <v>48139.8197</v>
      </c>
      <c r="J57" s="52">
        <v>48139.8197</v>
      </c>
      <c r="K57" s="52">
        <v>48139.8197</v>
      </c>
      <c r="L57" s="52">
        <v>48139.8197</v>
      </c>
      <c r="M57" s="52">
        <v>48139.8197</v>
      </c>
      <c r="N57" s="2">
        <f>O57-SUM(C57:M57)</f>
        <v>48370.983299999963</v>
      </c>
      <c r="O57" s="6">
        <f>'Prior year summary'!C27</f>
        <v>577909</v>
      </c>
    </row>
    <row r="58" spans="1:15" x14ac:dyDescent="0.25">
      <c r="B58" t="s">
        <v>160</v>
      </c>
      <c r="C58" s="10">
        <f t="shared" ref="C58:N58" si="16">IF($O57&gt;0,C57/$O57,0)</f>
        <v>8.3299999999999999E-2</v>
      </c>
      <c r="D58" s="10">
        <f t="shared" si="16"/>
        <v>8.3299999999999999E-2</v>
      </c>
      <c r="E58" s="10">
        <f t="shared" si="16"/>
        <v>8.3299999999999999E-2</v>
      </c>
      <c r="F58" s="10">
        <f t="shared" si="16"/>
        <v>8.3299999999999999E-2</v>
      </c>
      <c r="G58" s="10">
        <f t="shared" si="16"/>
        <v>8.3299999999999999E-2</v>
      </c>
      <c r="H58" s="10">
        <f t="shared" si="16"/>
        <v>8.3299999999999999E-2</v>
      </c>
      <c r="I58" s="10">
        <f t="shared" si="16"/>
        <v>8.3299999999999999E-2</v>
      </c>
      <c r="J58" s="10">
        <f t="shared" si="16"/>
        <v>8.3299999999999999E-2</v>
      </c>
      <c r="K58" s="10">
        <f t="shared" si="16"/>
        <v>8.3299999999999999E-2</v>
      </c>
      <c r="L58" s="10">
        <f t="shared" si="16"/>
        <v>8.3299999999999999E-2</v>
      </c>
      <c r="M58" s="10">
        <f t="shared" si="16"/>
        <v>8.3299999999999999E-2</v>
      </c>
      <c r="N58" s="10">
        <f t="shared" si="16"/>
        <v>8.3699999999999941E-2</v>
      </c>
      <c r="O58" s="5">
        <f>SUM(C58:N58)</f>
        <v>1</v>
      </c>
    </row>
    <row r="59" spans="1:15" x14ac:dyDescent="0.25">
      <c r="B59" t="s">
        <v>159</v>
      </c>
      <c r="C59" s="68">
        <v>8.3299999999999999E-2</v>
      </c>
      <c r="D59" s="68">
        <v>8.3299999999999999E-2</v>
      </c>
      <c r="E59" s="68">
        <v>8.3299999999999999E-2</v>
      </c>
      <c r="F59" s="68">
        <v>8.3299999999999999E-2</v>
      </c>
      <c r="G59" s="68">
        <v>8.3299999999999999E-2</v>
      </c>
      <c r="H59" s="68">
        <v>8.3299999999999999E-2</v>
      </c>
      <c r="I59" s="68">
        <v>8.3299999999999999E-2</v>
      </c>
      <c r="J59" s="68">
        <v>8.3299999999999999E-2</v>
      </c>
      <c r="K59" s="68">
        <v>8.3299999999999999E-2</v>
      </c>
      <c r="L59" s="68">
        <v>8.3299999999999999E-2</v>
      </c>
      <c r="M59" s="68">
        <v>8.3299999999999999E-2</v>
      </c>
      <c r="N59" s="12">
        <f>1-SUM(C59:M59)</f>
        <v>8.3699999999999886E-2</v>
      </c>
      <c r="O59" s="5">
        <f>SUM(C59:N59)</f>
        <v>1</v>
      </c>
    </row>
    <row r="60" spans="1:15" x14ac:dyDescent="0.25">
      <c r="A60" t="str">
        <f>'Prior year summary'!A28</f>
        <v>Merchandise</v>
      </c>
      <c r="B60" t="s">
        <v>158</v>
      </c>
      <c r="C60" s="52">
        <f>'Prior year summary'!$C28*0.0833</f>
        <v>66420.671099999992</v>
      </c>
      <c r="D60" s="52">
        <v>66420.671099999992</v>
      </c>
      <c r="E60" s="52">
        <v>66420.671099999992</v>
      </c>
      <c r="F60" s="52">
        <v>66420.671099999992</v>
      </c>
      <c r="G60" s="52">
        <v>66420.671099999992</v>
      </c>
      <c r="H60" s="52">
        <v>66420.671099999992</v>
      </c>
      <c r="I60" s="52">
        <v>66420.671099999992</v>
      </c>
      <c r="J60" s="52">
        <v>66420.671099999992</v>
      </c>
      <c r="K60" s="52">
        <v>66420.671099999992</v>
      </c>
      <c r="L60" s="52">
        <v>66420.671099999992</v>
      </c>
      <c r="M60" s="52">
        <v>66420.671099999992</v>
      </c>
      <c r="N60" s="2">
        <f>O60-SUM(C60:M60)</f>
        <v>66739.617899999954</v>
      </c>
      <c r="O60" s="8">
        <f>'Prior year summary'!C28</f>
        <v>797367</v>
      </c>
    </row>
    <row r="61" spans="1:15" x14ac:dyDescent="0.25">
      <c r="B61" t="s">
        <v>160</v>
      </c>
      <c r="C61" s="10">
        <f t="shared" ref="C61:N61" si="17">IF($O60&gt;0,C60/$O60,0)</f>
        <v>8.3299999999999985E-2</v>
      </c>
      <c r="D61" s="10">
        <f t="shared" si="17"/>
        <v>8.3299999999999985E-2</v>
      </c>
      <c r="E61" s="10">
        <f t="shared" si="17"/>
        <v>8.3299999999999985E-2</v>
      </c>
      <c r="F61" s="10">
        <f t="shared" si="17"/>
        <v>8.3299999999999985E-2</v>
      </c>
      <c r="G61" s="10">
        <f t="shared" si="17"/>
        <v>8.3299999999999985E-2</v>
      </c>
      <c r="H61" s="10">
        <f t="shared" si="17"/>
        <v>8.3299999999999985E-2</v>
      </c>
      <c r="I61" s="10">
        <f t="shared" si="17"/>
        <v>8.3299999999999985E-2</v>
      </c>
      <c r="J61" s="10">
        <f t="shared" si="17"/>
        <v>8.3299999999999985E-2</v>
      </c>
      <c r="K61" s="10">
        <f t="shared" si="17"/>
        <v>8.3299999999999985E-2</v>
      </c>
      <c r="L61" s="10">
        <f t="shared" si="17"/>
        <v>8.3299999999999985E-2</v>
      </c>
      <c r="M61" s="10">
        <f t="shared" si="17"/>
        <v>8.3299999999999985E-2</v>
      </c>
      <c r="N61" s="10">
        <f t="shared" si="17"/>
        <v>8.3699999999999941E-2</v>
      </c>
      <c r="O61" s="5">
        <f>SUM(C61:N61)</f>
        <v>0.99999999999999956</v>
      </c>
    </row>
    <row r="62" spans="1:15" x14ac:dyDescent="0.25">
      <c r="B62" t="s">
        <v>159</v>
      </c>
      <c r="C62" s="68">
        <v>8.3299999999999999E-2</v>
      </c>
      <c r="D62" s="68">
        <v>8.3299999999999999E-2</v>
      </c>
      <c r="E62" s="68">
        <v>8.3299999999999999E-2</v>
      </c>
      <c r="F62" s="68">
        <v>8.3299999999999999E-2</v>
      </c>
      <c r="G62" s="68">
        <v>8.3299999999999999E-2</v>
      </c>
      <c r="H62" s="68">
        <v>8.3299999999999999E-2</v>
      </c>
      <c r="I62" s="68">
        <v>8.3299999999999999E-2</v>
      </c>
      <c r="J62" s="68">
        <v>8.3299999999999999E-2</v>
      </c>
      <c r="K62" s="68">
        <v>8.3299999999999999E-2</v>
      </c>
      <c r="L62" s="68">
        <v>8.3299999999999999E-2</v>
      </c>
      <c r="M62" s="68">
        <v>8.3299999999999999E-2</v>
      </c>
      <c r="N62" s="12">
        <f>1-SUM(C62:M62)</f>
        <v>8.3699999999999886E-2</v>
      </c>
      <c r="O62" s="5">
        <f>SUM(C62:N62)</f>
        <v>1</v>
      </c>
    </row>
    <row r="63" spans="1:15" x14ac:dyDescent="0.25">
      <c r="A63" t="str">
        <f>'Prior year summary'!A29</f>
        <v>FS 13</v>
      </c>
      <c r="B63" t="s">
        <v>158</v>
      </c>
      <c r="C63" s="52">
        <f>'Prior year summary'!$C29*0.0833</f>
        <v>0</v>
      </c>
      <c r="D63" s="52">
        <v>0</v>
      </c>
      <c r="E63" s="52">
        <v>0</v>
      </c>
      <c r="F63" s="52">
        <v>0</v>
      </c>
      <c r="G63" s="52">
        <v>0</v>
      </c>
      <c r="H63" s="52">
        <v>0</v>
      </c>
      <c r="I63" s="52">
        <v>0</v>
      </c>
      <c r="J63" s="52">
        <v>0</v>
      </c>
      <c r="K63" s="52">
        <v>0</v>
      </c>
      <c r="L63" s="52">
        <v>0</v>
      </c>
      <c r="M63" s="52">
        <v>0</v>
      </c>
      <c r="N63" s="2">
        <f>O63-SUM(C63:M63)</f>
        <v>0</v>
      </c>
      <c r="O63" s="8">
        <f>'Prior year summary'!C29</f>
        <v>0</v>
      </c>
    </row>
    <row r="64" spans="1:15" x14ac:dyDescent="0.25">
      <c r="B64" t="s">
        <v>160</v>
      </c>
      <c r="C64" s="10">
        <f t="shared" ref="C64:N64" si="18">IF($O63&gt;0,C63/$O63,0)</f>
        <v>0</v>
      </c>
      <c r="D64" s="10">
        <f t="shared" si="18"/>
        <v>0</v>
      </c>
      <c r="E64" s="10">
        <f t="shared" si="18"/>
        <v>0</v>
      </c>
      <c r="F64" s="10">
        <f t="shared" si="18"/>
        <v>0</v>
      </c>
      <c r="G64" s="10">
        <f t="shared" si="18"/>
        <v>0</v>
      </c>
      <c r="H64" s="10">
        <f t="shared" si="18"/>
        <v>0</v>
      </c>
      <c r="I64" s="10">
        <f t="shared" si="18"/>
        <v>0</v>
      </c>
      <c r="J64" s="10">
        <f t="shared" si="18"/>
        <v>0</v>
      </c>
      <c r="K64" s="10">
        <f t="shared" si="18"/>
        <v>0</v>
      </c>
      <c r="L64" s="10">
        <f t="shared" si="18"/>
        <v>0</v>
      </c>
      <c r="M64" s="10">
        <f t="shared" si="18"/>
        <v>0</v>
      </c>
      <c r="N64" s="10">
        <f t="shared" si="18"/>
        <v>0</v>
      </c>
      <c r="O64" s="5">
        <f>SUM(C64:N64)</f>
        <v>0</v>
      </c>
    </row>
    <row r="65" spans="1:15" x14ac:dyDescent="0.25">
      <c r="B65" t="s">
        <v>159</v>
      </c>
      <c r="C65" s="68">
        <v>8.3299999999999999E-2</v>
      </c>
      <c r="D65" s="68">
        <v>8.3299999999999999E-2</v>
      </c>
      <c r="E65" s="68">
        <v>8.3299999999999999E-2</v>
      </c>
      <c r="F65" s="68">
        <v>8.3299999999999999E-2</v>
      </c>
      <c r="G65" s="68">
        <v>8.3299999999999999E-2</v>
      </c>
      <c r="H65" s="68">
        <v>8.3299999999999999E-2</v>
      </c>
      <c r="I65" s="68">
        <v>8.3299999999999999E-2</v>
      </c>
      <c r="J65" s="68">
        <v>8.3299999999999999E-2</v>
      </c>
      <c r="K65" s="68">
        <v>8.3299999999999999E-2</v>
      </c>
      <c r="L65" s="68">
        <v>8.3299999999999999E-2</v>
      </c>
      <c r="M65" s="68">
        <v>8.3299999999999999E-2</v>
      </c>
      <c r="N65" s="12">
        <f>1-SUM(C65:M65)</f>
        <v>8.3699999999999886E-2</v>
      </c>
      <c r="O65" s="5">
        <f>SUM(C65:N65)</f>
        <v>1</v>
      </c>
    </row>
    <row r="66" spans="1:15" x14ac:dyDescent="0.25">
      <c r="A66" t="str">
        <f>'Prior year summary'!A30</f>
        <v>FS 14</v>
      </c>
      <c r="B66" t="s">
        <v>158</v>
      </c>
      <c r="C66" s="52">
        <f>'Prior year summary'!$C30*0.0833</f>
        <v>0</v>
      </c>
      <c r="D66" s="52">
        <v>0</v>
      </c>
      <c r="E66" s="52">
        <v>0</v>
      </c>
      <c r="F66" s="52">
        <v>0</v>
      </c>
      <c r="G66" s="52">
        <v>0</v>
      </c>
      <c r="H66" s="52">
        <v>0</v>
      </c>
      <c r="I66" s="52">
        <v>0</v>
      </c>
      <c r="J66" s="52">
        <v>0</v>
      </c>
      <c r="K66" s="52">
        <v>0</v>
      </c>
      <c r="L66" s="52">
        <v>0</v>
      </c>
      <c r="M66" s="52">
        <v>0</v>
      </c>
      <c r="N66" s="2">
        <f>O66-SUM(C66:M66)</f>
        <v>0</v>
      </c>
      <c r="O66" s="8">
        <f>'Prior year summary'!C30</f>
        <v>0</v>
      </c>
    </row>
    <row r="67" spans="1:15" x14ac:dyDescent="0.25">
      <c r="B67" t="s">
        <v>160</v>
      </c>
      <c r="C67" s="10">
        <f t="shared" ref="C67:N67" si="19">IF($O66&gt;0,C66/$O66,0)</f>
        <v>0</v>
      </c>
      <c r="D67" s="10">
        <f t="shared" si="19"/>
        <v>0</v>
      </c>
      <c r="E67" s="10">
        <f t="shared" si="19"/>
        <v>0</v>
      </c>
      <c r="F67" s="10">
        <f t="shared" si="19"/>
        <v>0</v>
      </c>
      <c r="G67" s="10">
        <f t="shared" si="19"/>
        <v>0</v>
      </c>
      <c r="H67" s="10">
        <f t="shared" si="19"/>
        <v>0</v>
      </c>
      <c r="I67" s="10">
        <f t="shared" si="19"/>
        <v>0</v>
      </c>
      <c r="J67" s="10">
        <f t="shared" si="19"/>
        <v>0</v>
      </c>
      <c r="K67" s="10">
        <f t="shared" si="19"/>
        <v>0</v>
      </c>
      <c r="L67" s="10">
        <f t="shared" si="19"/>
        <v>0</v>
      </c>
      <c r="M67" s="10">
        <f t="shared" si="19"/>
        <v>0</v>
      </c>
      <c r="N67" s="10">
        <f t="shared" si="19"/>
        <v>0</v>
      </c>
      <c r="O67" s="5">
        <f>SUM(C67:N67)</f>
        <v>0</v>
      </c>
    </row>
    <row r="68" spans="1:15" x14ac:dyDescent="0.25">
      <c r="B68" t="s">
        <v>159</v>
      </c>
      <c r="C68" s="68">
        <v>8.3299999999999999E-2</v>
      </c>
      <c r="D68" s="68">
        <v>8.3299999999999999E-2</v>
      </c>
      <c r="E68" s="68">
        <v>8.3299999999999999E-2</v>
      </c>
      <c r="F68" s="68">
        <v>8.3299999999999999E-2</v>
      </c>
      <c r="G68" s="68">
        <v>8.3299999999999999E-2</v>
      </c>
      <c r="H68" s="68">
        <v>8.3299999999999999E-2</v>
      </c>
      <c r="I68" s="68">
        <v>8.3299999999999999E-2</v>
      </c>
      <c r="J68" s="68">
        <v>8.3299999999999999E-2</v>
      </c>
      <c r="K68" s="68">
        <v>8.3299999999999999E-2</v>
      </c>
      <c r="L68" s="68">
        <v>8.3299999999999999E-2</v>
      </c>
      <c r="M68" s="68">
        <v>8.3299999999999999E-2</v>
      </c>
      <c r="N68" s="12">
        <f>1-SUM(C68:M68)</f>
        <v>8.3699999999999886E-2</v>
      </c>
      <c r="O68" s="5">
        <f>SUM(C68:N68)</f>
        <v>1</v>
      </c>
    </row>
    <row r="69" spans="1:15" x14ac:dyDescent="0.25">
      <c r="C69" s="7"/>
      <c r="D69" s="7"/>
      <c r="E69" s="7"/>
      <c r="F69" s="7"/>
      <c r="G69" s="7"/>
      <c r="H69" s="7"/>
      <c r="I69" s="7"/>
      <c r="J69" s="7"/>
      <c r="K69" s="7"/>
      <c r="L69" s="7"/>
      <c r="M69" s="7"/>
      <c r="N69" s="7"/>
    </row>
    <row r="70" spans="1:15" x14ac:dyDescent="0.25">
      <c r="A70" t="str">
        <f>'Prior year summary'!A31</f>
        <v>Sub Total Farm Supply</v>
      </c>
      <c r="B70" t="s">
        <v>158</v>
      </c>
      <c r="C70" s="54">
        <f>C27+C30+C33+C36+C39+C42+C45+C48+C51+C54+C57+C60+C63+C66</f>
        <v>1604606.0674000001</v>
      </c>
      <c r="D70" s="54">
        <f t="shared" ref="D70:M70" si="20">D27+D30+D33+D36+D39+D42+D45+D48+D51+D54+D57+D60+D63+D66</f>
        <v>1604606.0674000001</v>
      </c>
      <c r="E70" s="54">
        <f t="shared" si="20"/>
        <v>1604606.0674000001</v>
      </c>
      <c r="F70" s="54">
        <f t="shared" si="20"/>
        <v>1604606.0674000001</v>
      </c>
      <c r="G70" s="54">
        <f t="shared" si="20"/>
        <v>1604606.0674000001</v>
      </c>
      <c r="H70" s="54">
        <f t="shared" si="20"/>
        <v>1604606.0674000001</v>
      </c>
      <c r="I70" s="54">
        <f t="shared" si="20"/>
        <v>1604606.0674000001</v>
      </c>
      <c r="J70" s="54">
        <f t="shared" si="20"/>
        <v>1604606.0674000001</v>
      </c>
      <c r="K70" s="54">
        <f t="shared" si="20"/>
        <v>1604606.0674000001</v>
      </c>
      <c r="L70" s="54">
        <f t="shared" si="20"/>
        <v>1604606.0674000001</v>
      </c>
      <c r="M70" s="54">
        <f t="shared" si="20"/>
        <v>1604606.0674000001</v>
      </c>
      <c r="N70" s="13">
        <f>O70-SUM(C70:M70)</f>
        <v>1612311.2585999966</v>
      </c>
      <c r="O70" s="8">
        <f>'Prior year summary'!C31</f>
        <v>19262978</v>
      </c>
    </row>
    <row r="71" spans="1:15" x14ac:dyDescent="0.25">
      <c r="B71" t="s">
        <v>160</v>
      </c>
      <c r="C71" s="5">
        <f t="shared" ref="C71:N71" si="21">IF($O70&gt;0,C70/$O70,0)</f>
        <v>8.3299999999999999E-2</v>
      </c>
      <c r="D71" s="5">
        <f t="shared" si="21"/>
        <v>8.3299999999999999E-2</v>
      </c>
      <c r="E71" s="5">
        <f t="shared" si="21"/>
        <v>8.3299999999999999E-2</v>
      </c>
      <c r="F71" s="5">
        <f t="shared" si="21"/>
        <v>8.3299999999999999E-2</v>
      </c>
      <c r="G71" s="5">
        <f t="shared" si="21"/>
        <v>8.3299999999999999E-2</v>
      </c>
      <c r="H71" s="5">
        <f t="shared" si="21"/>
        <v>8.3299999999999999E-2</v>
      </c>
      <c r="I71" s="5">
        <f t="shared" si="21"/>
        <v>8.3299999999999999E-2</v>
      </c>
      <c r="J71" s="5">
        <f t="shared" si="21"/>
        <v>8.3299999999999999E-2</v>
      </c>
      <c r="K71" s="5">
        <f t="shared" si="21"/>
        <v>8.3299999999999999E-2</v>
      </c>
      <c r="L71" s="5">
        <f t="shared" si="21"/>
        <v>8.3299999999999999E-2</v>
      </c>
      <c r="M71" s="5">
        <f t="shared" si="21"/>
        <v>8.3299999999999999E-2</v>
      </c>
      <c r="N71" s="5">
        <f t="shared" si="21"/>
        <v>8.3699999999999816E-2</v>
      </c>
      <c r="O71" s="5">
        <f>SUM(C71:N71)</f>
        <v>0.99999999999999989</v>
      </c>
    </row>
    <row r="72" spans="1:15" x14ac:dyDescent="0.25">
      <c r="B72" t="s">
        <v>159</v>
      </c>
      <c r="C72" s="51">
        <v>8.3299999999999999E-2</v>
      </c>
      <c r="D72" s="51">
        <v>8.3299999999999999E-2</v>
      </c>
      <c r="E72" s="51">
        <v>8.3299999999999999E-2</v>
      </c>
      <c r="F72" s="51">
        <v>8.3299999999999999E-2</v>
      </c>
      <c r="G72" s="51">
        <v>8.3299999999999999E-2</v>
      </c>
      <c r="H72" s="51">
        <v>8.3299999999999999E-2</v>
      </c>
      <c r="I72" s="51">
        <v>8.3299999999999999E-2</v>
      </c>
      <c r="J72" s="51">
        <v>8.3299999999999999E-2</v>
      </c>
      <c r="K72" s="51">
        <v>8.3299999999999999E-2</v>
      </c>
      <c r="L72" s="51">
        <v>8.3299999999999999E-2</v>
      </c>
      <c r="M72" s="51">
        <v>8.3299999999999999E-2</v>
      </c>
      <c r="N72" s="7">
        <f>1-SUM(C72:M72)</f>
        <v>8.3699999999999886E-2</v>
      </c>
      <c r="O72" s="5">
        <f>SUM(C72:N72)</f>
        <v>1</v>
      </c>
    </row>
    <row r="74" spans="1:15" x14ac:dyDescent="0.25">
      <c r="C74" s="4"/>
    </row>
    <row r="174" spans="1:15" x14ac:dyDescent="0.25">
      <c r="A174" t="s">
        <v>0</v>
      </c>
      <c r="C174" t="str">
        <f t="shared" ref="C174:O174" si="22">C8</f>
        <v>JAN</v>
      </c>
      <c r="D174" t="str">
        <f t="shared" si="22"/>
        <v>FEB</v>
      </c>
      <c r="E174" t="str">
        <f t="shared" si="22"/>
        <v>MAR</v>
      </c>
      <c r="F174" t="str">
        <f t="shared" si="22"/>
        <v>APRIL</v>
      </c>
      <c r="G174" t="str">
        <f t="shared" si="22"/>
        <v>MAY</v>
      </c>
      <c r="H174" t="str">
        <f t="shared" si="22"/>
        <v>JUN</v>
      </c>
      <c r="I174" t="str">
        <f t="shared" si="22"/>
        <v>JUL</v>
      </c>
      <c r="J174" t="str">
        <f t="shared" si="22"/>
        <v>AUG</v>
      </c>
      <c r="K174" t="str">
        <f t="shared" si="22"/>
        <v>SEPT</v>
      </c>
      <c r="L174" t="str">
        <f t="shared" si="22"/>
        <v>OCT</v>
      </c>
      <c r="M174" t="str">
        <f t="shared" si="22"/>
        <v>NOV</v>
      </c>
      <c r="N174" t="str">
        <f t="shared" si="22"/>
        <v>DEC</v>
      </c>
      <c r="O174" t="str">
        <f t="shared" si="22"/>
        <v>TOTAL</v>
      </c>
    </row>
    <row r="176" spans="1:15" x14ac:dyDescent="0.25">
      <c r="A176" t="str">
        <f>'Prior year summary'!A9</f>
        <v>Wheat</v>
      </c>
    </row>
    <row r="177" spans="1:1" x14ac:dyDescent="0.25">
      <c r="A177" t="str">
        <f>'Prior year summary'!A10</f>
        <v>Oats</v>
      </c>
    </row>
    <row r="178" spans="1:1" x14ac:dyDescent="0.25">
      <c r="A178" t="str">
        <f>'Prior year summary'!A11</f>
        <v>Milo</v>
      </c>
    </row>
    <row r="179" spans="1:1" x14ac:dyDescent="0.25">
      <c r="A179" t="str">
        <f>'Prior year summary'!A12</f>
        <v>Corn</v>
      </c>
    </row>
    <row r="180" spans="1:1" x14ac:dyDescent="0.25">
      <c r="A180" t="str">
        <f>'Prior year summary'!A13</f>
        <v>Soybeans</v>
      </c>
    </row>
    <row r="181" spans="1:1" x14ac:dyDescent="0.25">
      <c r="A181">
        <f>'Prior year summary'!A14</f>
        <v>0</v>
      </c>
    </row>
    <row r="182" spans="1:1" x14ac:dyDescent="0.25">
      <c r="A182" t="str">
        <f>'Prior year summary'!A15</f>
        <v>SUB TOTAL GRAIN</v>
      </c>
    </row>
    <row r="183" spans="1:1" x14ac:dyDescent="0.25">
      <c r="A183" t="str">
        <f>'Prior year summary'!A16</f>
        <v>FARM SUPPLY</v>
      </c>
    </row>
    <row r="184" spans="1:1" x14ac:dyDescent="0.25">
      <c r="A184" t="str">
        <f>'Prior year summary'!A17</f>
        <v>Feed</v>
      </c>
    </row>
    <row r="185" spans="1:1" x14ac:dyDescent="0.25">
      <c r="A185" t="str">
        <f>'Prior year summary'!A18</f>
        <v>Fertilizer</v>
      </c>
    </row>
    <row r="186" spans="1:1" x14ac:dyDescent="0.25">
      <c r="A186" t="str">
        <f>'Prior year summary'!A19</f>
        <v>Lime</v>
      </c>
    </row>
    <row r="187" spans="1:1" x14ac:dyDescent="0.25">
      <c r="A187" t="str">
        <f>'Prior year summary'!A20</f>
        <v>Propane</v>
      </c>
    </row>
    <row r="188" spans="1:1" x14ac:dyDescent="0.25">
      <c r="A188" t="str">
        <f>'Prior year summary'!A21</f>
        <v>Gasoline</v>
      </c>
    </row>
    <row r="189" spans="1:1" x14ac:dyDescent="0.25">
      <c r="A189" t="str">
        <f>'Prior year summary'!A22</f>
        <v>Diesel</v>
      </c>
    </row>
    <row r="191" spans="1:1" x14ac:dyDescent="0.25">
      <c r="A191" t="str">
        <f>'Prior year summary'!A24</f>
        <v>Chemical</v>
      </c>
    </row>
    <row r="192" spans="1:1" x14ac:dyDescent="0.25">
      <c r="A192" t="str">
        <f>'Prior year summary'!A25</f>
        <v>Seed</v>
      </c>
    </row>
    <row r="193" spans="1:1" x14ac:dyDescent="0.25">
      <c r="A193" t="str">
        <f>'Prior year summary'!A26</f>
        <v>Oil and grease</v>
      </c>
    </row>
    <row r="194" spans="1:1" x14ac:dyDescent="0.25">
      <c r="A194" t="str">
        <f>'Prior year summary'!A27</f>
        <v>Tires batteries and acces</v>
      </c>
    </row>
    <row r="195" spans="1:1" x14ac:dyDescent="0.25">
      <c r="A195" t="str">
        <f>'Prior year summary'!A28</f>
        <v>Merchandise</v>
      </c>
    </row>
    <row r="198" spans="1:1" x14ac:dyDescent="0.25">
      <c r="A198" t="str">
        <f>'Prior year summary'!A31</f>
        <v>Sub Total Farm Supply</v>
      </c>
    </row>
    <row r="200" spans="1:1" x14ac:dyDescent="0.25">
      <c r="A200" t="str">
        <f>'Prior year summary'!A35</f>
        <v>OTHER INCOME:</v>
      </c>
    </row>
    <row r="201" spans="1:1" x14ac:dyDescent="0.25">
      <c r="A201" t="str">
        <f>'Prior year summary'!A36</f>
        <v>Income 1</v>
      </c>
    </row>
    <row r="202" spans="1:1" x14ac:dyDescent="0.25">
      <c r="A202" t="str">
        <f>'Prior year summary'!A37</f>
        <v>Labor</v>
      </c>
    </row>
    <row r="203" spans="1:1" x14ac:dyDescent="0.25">
      <c r="A203" t="str">
        <f>'Prior year summary'!A38</f>
        <v>Cleaning and Treating Income</v>
      </c>
    </row>
    <row r="204" spans="1:1" x14ac:dyDescent="0.25">
      <c r="A204" t="str">
        <f>'Prior year summary'!A39</f>
        <v>Blending</v>
      </c>
    </row>
    <row r="205" spans="1:1" x14ac:dyDescent="0.25">
      <c r="A205" t="str">
        <f>'Prior year summary'!A40</f>
        <v>Storage</v>
      </c>
    </row>
    <row r="206" spans="1:1" x14ac:dyDescent="0.25">
      <c r="A206" t="str">
        <f>'Prior year summary'!A41</f>
        <v>Misc</v>
      </c>
    </row>
    <row r="207" spans="1:1" x14ac:dyDescent="0.25">
      <c r="A207" t="str">
        <f>'Prior year summary'!A42</f>
        <v>Discounts</v>
      </c>
    </row>
    <row r="208" spans="1:1" x14ac:dyDescent="0.25">
      <c r="A208" t="str">
        <f>'Prior year summary'!A43</f>
        <v>Delivery</v>
      </c>
    </row>
    <row r="209" spans="1:1" x14ac:dyDescent="0.25">
      <c r="A209" t="str">
        <f>'Prior year summary'!A44</f>
        <v>Milling</v>
      </c>
    </row>
    <row r="210" spans="1:1" x14ac:dyDescent="0.25">
      <c r="A210" t="str">
        <f>'Prior year summary'!A45</f>
        <v>Handling</v>
      </c>
    </row>
    <row r="211" spans="1:1" x14ac:dyDescent="0.25">
      <c r="A211" t="str">
        <f>'Prior year summary'!A46</f>
        <v>Equip Rent</v>
      </c>
    </row>
    <row r="212" spans="1:1" x14ac:dyDescent="0.25">
      <c r="A212" t="str">
        <f>'Prior year summary'!A47</f>
        <v>Interest</v>
      </c>
    </row>
    <row r="213" spans="1:1" x14ac:dyDescent="0.25">
      <c r="A213" t="str">
        <f>'Prior year summary'!A48</f>
        <v>Life ins value</v>
      </c>
    </row>
    <row r="214" spans="1:1" x14ac:dyDescent="0.25">
      <c r="A214" t="str">
        <f>'Prior year summary'!A49</f>
        <v>Application</v>
      </c>
    </row>
    <row r="215" spans="1:1" x14ac:dyDescent="0.25">
      <c r="A215" t="str">
        <f>'Prior year summary'!A50</f>
        <v>Asset sales</v>
      </c>
    </row>
    <row r="216" spans="1:1" x14ac:dyDescent="0.25">
      <c r="A216" t="str">
        <f>'Prior year summary'!A51</f>
        <v>LLC</v>
      </c>
    </row>
    <row r="217" spans="1:1" x14ac:dyDescent="0.25">
      <c r="A217" t="str">
        <f>'Prior year summary'!A52</f>
        <v>EMA grain</v>
      </c>
    </row>
    <row r="218" spans="1:1" x14ac:dyDescent="0.25">
      <c r="A218" t="str">
        <f>'Prior year summary'!A53</f>
        <v>Freight</v>
      </c>
    </row>
    <row r="219" spans="1:1" x14ac:dyDescent="0.25">
      <c r="A219" t="str">
        <f>'Prior year summary'!A54</f>
        <v>Finance charge</v>
      </c>
    </row>
    <row r="220" spans="1:1" x14ac:dyDescent="0.25">
      <c r="A220" t="str">
        <f>'Prior year summary'!A55</f>
        <v>Rental</v>
      </c>
    </row>
    <row r="221" spans="1:1" x14ac:dyDescent="0.25">
      <c r="A221" t="str">
        <f>'Prior year summary'!A56</f>
        <v>Fuel hedge</v>
      </c>
    </row>
    <row r="222" spans="1:1" x14ac:dyDescent="0.25">
      <c r="A222" t="str">
        <f>'Prior year summary'!A57</f>
        <v>income 22</v>
      </c>
    </row>
    <row r="223" spans="1:1" x14ac:dyDescent="0.25">
      <c r="A223" t="str">
        <f>'Prior year summary'!A58</f>
        <v>income 23</v>
      </c>
    </row>
    <row r="224" spans="1:1" x14ac:dyDescent="0.25">
      <c r="A224" t="str">
        <f>'Prior year summary'!A59</f>
        <v>income 24</v>
      </c>
    </row>
    <row r="225" spans="1:1" x14ac:dyDescent="0.25">
      <c r="A225" t="str">
        <f>'Prior year summary'!A60</f>
        <v>income 25</v>
      </c>
    </row>
  </sheetData>
  <mergeCells count="3">
    <mergeCell ref="C2:M2"/>
    <mergeCell ref="C3:H3"/>
    <mergeCell ref="C5:J5"/>
  </mergeCells>
  <phoneticPr fontId="2" type="noConversion"/>
  <hyperlinks>
    <hyperlink ref="C6" location="Instructions!C6" display="Back to Instructions"/>
  </hyperlinks>
  <pageMargins left="0.7" right="0.7" top="0.75" bottom="0.75" header="0.3" footer="0.3"/>
  <ignoredErrors>
    <ignoredError sqref="O12 O15 O18 O21 O66 O27 O30 O33 O36 O39 O42 O45 O48 O51 O54 O57 O60 O63"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zoomScale="90" zoomScaleNormal="90" workbookViewId="0">
      <selection activeCell="I56" sqref="I56"/>
    </sheetView>
  </sheetViews>
  <sheetFormatPr defaultRowHeight="15" x14ac:dyDescent="0.25"/>
  <cols>
    <col min="1" max="1" width="24.42578125" customWidth="1"/>
    <col min="3" max="6" width="12.7109375" customWidth="1"/>
    <col min="7" max="7" width="13.42578125" customWidth="1"/>
    <col min="8" max="9" width="12.7109375" customWidth="1"/>
    <col min="10" max="10" width="14.42578125" customWidth="1"/>
  </cols>
  <sheetData>
    <row r="1" spans="1:10" x14ac:dyDescent="0.25">
      <c r="D1" s="2" t="s">
        <v>304</v>
      </c>
      <c r="H1" s="19"/>
    </row>
    <row r="2" spans="1:10" x14ac:dyDescent="0.25">
      <c r="D2" s="2" t="s">
        <v>275</v>
      </c>
    </row>
    <row r="3" spans="1:10" x14ac:dyDescent="0.25">
      <c r="D3" s="2" t="s">
        <v>276</v>
      </c>
    </row>
    <row r="4" spans="1:10" x14ac:dyDescent="0.25">
      <c r="D4" t="s">
        <v>385</v>
      </c>
    </row>
    <row r="5" spans="1:10" x14ac:dyDescent="0.25">
      <c r="D5" t="s">
        <v>386</v>
      </c>
    </row>
    <row r="6" spans="1:10" x14ac:dyDescent="0.25">
      <c r="D6" s="36" t="str">
        <f>'Monthly Sales Worksheet'!$C$6</f>
        <v>Back to Instructions</v>
      </c>
    </row>
    <row r="7" spans="1:10" x14ac:dyDescent="0.25">
      <c r="A7" t="s">
        <v>331</v>
      </c>
    </row>
    <row r="8" spans="1:10" x14ac:dyDescent="0.25">
      <c r="A8" s="43" t="s">
        <v>330</v>
      </c>
      <c r="B8" s="19"/>
      <c r="E8" s="72" t="s">
        <v>301</v>
      </c>
      <c r="F8" s="73">
        <v>41038</v>
      </c>
      <c r="J8" t="s">
        <v>0</v>
      </c>
    </row>
    <row r="9" spans="1:10" x14ac:dyDescent="0.25">
      <c r="C9" s="43">
        <v>2006</v>
      </c>
      <c r="D9">
        <f>C9+1</f>
        <v>2007</v>
      </c>
      <c r="E9">
        <f>D9+1</f>
        <v>2008</v>
      </c>
      <c r="F9">
        <f>E9+1</f>
        <v>2009</v>
      </c>
      <c r="G9">
        <f>F9+1</f>
        <v>2010</v>
      </c>
      <c r="H9" t="s">
        <v>138</v>
      </c>
      <c r="I9" t="s">
        <v>179</v>
      </c>
      <c r="J9">
        <f>G9+1</f>
        <v>2011</v>
      </c>
    </row>
    <row r="11" spans="1:10" x14ac:dyDescent="0.25">
      <c r="A11" t="s">
        <v>1</v>
      </c>
      <c r="C11" s="40">
        <v>20746910.370243311</v>
      </c>
      <c r="D11" s="40">
        <v>20956475.12145789</v>
      </c>
      <c r="E11" s="40">
        <v>21168156.688341305</v>
      </c>
      <c r="F11" s="40">
        <v>21381976.452870004</v>
      </c>
      <c r="G11" s="13">
        <f>'Prior year summary'!C33</f>
        <v>26205562</v>
      </c>
      <c r="H11" s="13">
        <f>AVERAGE(C11:G11)</f>
        <v>22091816.126582503</v>
      </c>
      <c r="I11" s="13">
        <f t="shared" ref="I11:I18" si="0">TREND(C11:G11,$C$84:$G$84,$H$84,TRUE)</f>
        <v>25494657.50386015</v>
      </c>
      <c r="J11" s="29">
        <f>'Prior year summary'!J33</f>
        <v>25967466.761904761</v>
      </c>
    </row>
    <row r="12" spans="1:10" x14ac:dyDescent="0.25">
      <c r="A12" t="s">
        <v>2</v>
      </c>
      <c r="C12" s="40">
        <v>5088333.5197879197</v>
      </c>
      <c r="D12" s="40">
        <v>5456862.9644563701</v>
      </c>
      <c r="E12" s="40">
        <v>5890427.0170074999</v>
      </c>
      <c r="F12" s="40">
        <v>5980596</v>
      </c>
      <c r="G12" s="13">
        <f>'Prior year summary'!C64</f>
        <v>6459999</v>
      </c>
      <c r="H12" s="13">
        <f t="shared" ref="H12:H31" si="1">AVERAGE(C12:G12)</f>
        <v>5775243.7002503583</v>
      </c>
      <c r="I12" s="13">
        <f t="shared" si="0"/>
        <v>6755362.8990406953</v>
      </c>
      <c r="J12" s="29">
        <f>'Prior year summary'!F64</f>
        <v>6408999</v>
      </c>
    </row>
    <row r="13" spans="1:10" x14ac:dyDescent="0.25">
      <c r="A13" t="s">
        <v>3</v>
      </c>
      <c r="C13" s="40">
        <v>1608322.0590801518</v>
      </c>
      <c r="D13" s="40">
        <v>1624567.7364445978</v>
      </c>
      <c r="E13" s="40">
        <v>1640977.5115601998</v>
      </c>
      <c r="F13" s="40">
        <v>1657553.0419799997</v>
      </c>
      <c r="G13" s="13">
        <f>'Prior year summary'!B78</f>
        <v>2229912</v>
      </c>
      <c r="H13" s="13">
        <f t="shared" si="1"/>
        <v>1752266.4698129899</v>
      </c>
      <c r="I13" s="13">
        <f t="shared" si="0"/>
        <v>2135116.0260255197</v>
      </c>
      <c r="J13" s="29">
        <f>'Prior year summary'!F78</f>
        <v>2341407.6</v>
      </c>
    </row>
    <row r="14" spans="1:10" x14ac:dyDescent="0.25">
      <c r="A14" t="s">
        <v>4</v>
      </c>
      <c r="C14" s="40">
        <v>660266.62806950998</v>
      </c>
      <c r="D14" s="40">
        <v>666935.98794899997</v>
      </c>
      <c r="E14" s="40">
        <v>673672.71510000003</v>
      </c>
      <c r="F14" s="40">
        <v>680477.49</v>
      </c>
      <c r="G14" s="13">
        <f>'Prior year summary'!B85</f>
        <v>947610</v>
      </c>
      <c r="H14" s="13">
        <f t="shared" si="1"/>
        <v>725792.56422370207</v>
      </c>
      <c r="I14" s="13">
        <f t="shared" si="0"/>
        <v>902261.03799729596</v>
      </c>
      <c r="J14" s="29">
        <f>'Prior year summary'!F85</f>
        <v>947610</v>
      </c>
    </row>
    <row r="15" spans="1:10" x14ac:dyDescent="0.25">
      <c r="A15" t="s">
        <v>5</v>
      </c>
      <c r="C15" s="40">
        <v>2880121</v>
      </c>
      <c r="D15" s="40">
        <v>2921456</v>
      </c>
      <c r="E15" s="40">
        <v>3000124</v>
      </c>
      <c r="F15" s="40">
        <v>3125892</v>
      </c>
      <c r="G15" s="13">
        <f>'Prior year summary'!B120</f>
        <v>2833101.006000001</v>
      </c>
      <c r="H15" s="13">
        <f t="shared" si="1"/>
        <v>2952138.8012000001</v>
      </c>
      <c r="I15" s="13">
        <f t="shared" si="0"/>
        <v>2985257.6048000008</v>
      </c>
      <c r="J15" s="29">
        <f>'Prior year summary'!F120</f>
        <v>2731493.006000001</v>
      </c>
    </row>
    <row r="16" spans="1:10" x14ac:dyDescent="0.25">
      <c r="A16" t="s">
        <v>7</v>
      </c>
      <c r="C16" s="13">
        <f>SUM(C13:C15)</f>
        <v>5148709.6871496616</v>
      </c>
      <c r="D16" s="13">
        <f>SUM(D13:D15)</f>
        <v>5212959.7243935978</v>
      </c>
      <c r="E16" s="13">
        <f>SUM(E13:E15)</f>
        <v>5314774.2266601995</v>
      </c>
      <c r="F16" s="13">
        <f>SUM(F13:F15)</f>
        <v>5463922.5319799995</v>
      </c>
      <c r="G16" s="13">
        <f>SUM(G13:G15)</f>
        <v>6010623.006000001</v>
      </c>
      <c r="H16" s="13">
        <f t="shared" si="1"/>
        <v>5430197.8352366919</v>
      </c>
      <c r="I16" s="13">
        <f t="shared" si="0"/>
        <v>6022634.6688228166</v>
      </c>
      <c r="J16" s="29">
        <f>'Prior year summary'!F122</f>
        <v>6020510.6060000006</v>
      </c>
    </row>
    <row r="17" spans="1:10" x14ac:dyDescent="0.25">
      <c r="A17" t="s">
        <v>8</v>
      </c>
      <c r="C17" s="40">
        <f>C12-C16</f>
        <v>-60376.167361741886</v>
      </c>
      <c r="D17" s="40">
        <f>D12-D16</f>
        <v>243903.2400627723</v>
      </c>
      <c r="E17" s="40">
        <f>E12-E16</f>
        <v>575652.79034730047</v>
      </c>
      <c r="F17" s="40">
        <f>F12-F16</f>
        <v>516673.4680200005</v>
      </c>
      <c r="G17" s="13">
        <f>'Prior year summary'!B125</f>
        <v>449375.99399999902</v>
      </c>
      <c r="H17" s="13">
        <f t="shared" si="1"/>
        <v>345045.8650136661</v>
      </c>
      <c r="I17" s="13">
        <f t="shared" si="0"/>
        <v>732728.23021787906</v>
      </c>
      <c r="J17" s="29">
        <f>'Prior year summary'!F125</f>
        <v>388488.39399999939</v>
      </c>
    </row>
    <row r="18" spans="1:10" x14ac:dyDescent="0.25">
      <c r="A18" t="s">
        <v>9</v>
      </c>
      <c r="C18" s="40">
        <f>C17+10000</f>
        <v>-50376.167361741886</v>
      </c>
      <c r="D18" s="40">
        <f>D17+10000</f>
        <v>253903.2400627723</v>
      </c>
      <c r="E18" s="40">
        <f>E17+10000</f>
        <v>585652.79034730047</v>
      </c>
      <c r="F18" s="40">
        <f>F17+10000</f>
        <v>526673.4680200005</v>
      </c>
      <c r="G18" s="13">
        <f>'Prior year summary'!B127</f>
        <v>547375.99399999902</v>
      </c>
      <c r="H18" s="13">
        <f t="shared" si="1"/>
        <v>372645.8650136661</v>
      </c>
      <c r="I18" s="13">
        <f t="shared" si="0"/>
        <v>813128.23021787894</v>
      </c>
      <c r="J18" s="29">
        <f>'Prior year summary'!F127</f>
        <v>488488.39399999939</v>
      </c>
    </row>
    <row r="19" spans="1:10" x14ac:dyDescent="0.25">
      <c r="C19" s="2"/>
      <c r="D19" s="2"/>
      <c r="E19" s="2"/>
      <c r="F19" s="2"/>
      <c r="G19" s="2"/>
      <c r="H19" s="2"/>
      <c r="I19" s="2"/>
      <c r="J19" s="30"/>
    </row>
    <row r="20" spans="1:10" x14ac:dyDescent="0.25">
      <c r="A20" t="s">
        <v>10</v>
      </c>
      <c r="C20" s="12">
        <f>C13/C$12</f>
        <v>0.31608031447340862</v>
      </c>
      <c r="D20" s="12">
        <f>D13/D$12</f>
        <v>0.29771092787675352</v>
      </c>
      <c r="E20" s="12">
        <f>E13/E$12</f>
        <v>0.2785837948288275</v>
      </c>
      <c r="F20" s="12">
        <f>F13/F$12</f>
        <v>0.27715516011782099</v>
      </c>
      <c r="G20" s="12">
        <f>G13/G$12</f>
        <v>0.34518766953369495</v>
      </c>
      <c r="H20" s="12">
        <f t="shared" si="1"/>
        <v>0.30294357336610112</v>
      </c>
      <c r="I20" s="12">
        <f>TREND(C20:G20,$C$84:$G$84,$H$84,TRUE)</f>
        <v>0.31424125607459313</v>
      </c>
      <c r="J20" s="12">
        <f>J13/J$12</f>
        <v>0.36533124751618778</v>
      </c>
    </row>
    <row r="21" spans="1:10" x14ac:dyDescent="0.25">
      <c r="A21" t="s">
        <v>11</v>
      </c>
      <c r="C21" s="12">
        <f t="shared" ref="C21:G23" si="2">C14/C$12</f>
        <v>0.1297608785866359</v>
      </c>
      <c r="D21" s="12">
        <f t="shared" si="2"/>
        <v>0.12221966948650363</v>
      </c>
      <c r="E21" s="12">
        <f t="shared" si="2"/>
        <v>0.11436738171186857</v>
      </c>
      <c r="F21" s="12">
        <f t="shared" si="2"/>
        <v>0.11378088237359621</v>
      </c>
      <c r="G21" s="12">
        <f t="shared" si="2"/>
        <v>0.14668887719642063</v>
      </c>
      <c r="H21" s="12">
        <f t="shared" si="1"/>
        <v>0.12536353787100499</v>
      </c>
      <c r="I21" s="12">
        <f>TREND(C21:G21,$C$84:$G$84,$H$84,TRUE)</f>
        <v>0.13298870090300358</v>
      </c>
      <c r="J21" s="12">
        <f>J14/J$12</f>
        <v>0.1478561628734846</v>
      </c>
    </row>
    <row r="22" spans="1:10" x14ac:dyDescent="0.25">
      <c r="A22" t="s">
        <v>12</v>
      </c>
      <c r="C22" s="12">
        <f t="shared" si="2"/>
        <v>0.56602441424084216</v>
      </c>
      <c r="D22" s="12">
        <f t="shared" si="2"/>
        <v>0.53537279917584379</v>
      </c>
      <c r="E22" s="12">
        <f t="shared" si="2"/>
        <v>0.50932198825954489</v>
      </c>
      <c r="F22" s="12">
        <f t="shared" si="2"/>
        <v>0.52267232229028682</v>
      </c>
      <c r="G22" s="12">
        <f t="shared" si="2"/>
        <v>0.43856059513321921</v>
      </c>
      <c r="H22" s="12">
        <f t="shared" si="1"/>
        <v>0.51439042381994737</v>
      </c>
      <c r="I22" s="12">
        <f>TREND(C22:G22,$C$84:$G$84,$H$84,TRUE)</f>
        <v>0.43410198928970645</v>
      </c>
      <c r="J22" s="12">
        <f>J15/J$12</f>
        <v>0.4261965099386037</v>
      </c>
    </row>
    <row r="23" spans="1:10" x14ac:dyDescent="0.25">
      <c r="A23" t="s">
        <v>13</v>
      </c>
      <c r="C23" s="12">
        <f t="shared" si="2"/>
        <v>1.0118656073008867</v>
      </c>
      <c r="D23" s="12">
        <f t="shared" si="2"/>
        <v>0.95530339653910101</v>
      </c>
      <c r="E23" s="12">
        <f t="shared" si="2"/>
        <v>0.90227316480024089</v>
      </c>
      <c r="F23" s="12">
        <f t="shared" si="2"/>
        <v>0.91360836478170393</v>
      </c>
      <c r="G23" s="12">
        <f t="shared" si="2"/>
        <v>0.93043714186333482</v>
      </c>
      <c r="H23" s="12">
        <f t="shared" si="1"/>
        <v>0.94269753505705334</v>
      </c>
      <c r="I23" s="12">
        <f>TREND(C23:G23,$C$84:$G$84,$H$84,TRUE)</f>
        <v>0.88133194626730305</v>
      </c>
      <c r="J23" s="12">
        <f>J16/J$12</f>
        <v>0.939383920328276</v>
      </c>
    </row>
    <row r="24" spans="1:10" x14ac:dyDescent="0.25">
      <c r="C24" s="2"/>
      <c r="D24" s="2"/>
      <c r="E24" s="2"/>
      <c r="F24" s="2"/>
      <c r="G24" s="2"/>
      <c r="H24" s="2"/>
      <c r="I24" s="2"/>
      <c r="J24" s="30"/>
    </row>
    <row r="25" spans="1:10" x14ac:dyDescent="0.25">
      <c r="A25" t="s">
        <v>14</v>
      </c>
      <c r="C25" s="40">
        <v>19328339.633431952</v>
      </c>
      <c r="D25" s="40">
        <v>19523575.387305003</v>
      </c>
      <c r="E25" s="40">
        <v>19720783.219500002</v>
      </c>
      <c r="F25" s="40">
        <v>19919983.050000001</v>
      </c>
      <c r="G25" s="13">
        <f>'Balance sheet'!C39</f>
        <v>18532295</v>
      </c>
      <c r="H25" s="13">
        <f t="shared" si="1"/>
        <v>19404995.258047391</v>
      </c>
      <c r="I25" s="13">
        <f t="shared" ref="I25:I31" si="3">TREND(C25:G25,$C$84:$G$84,$H$84,TRUE)</f>
        <v>19046290.776796721</v>
      </c>
      <c r="J25" s="29">
        <f>'Balance sheet'!G39</f>
        <v>18148661.295499999</v>
      </c>
    </row>
    <row r="26" spans="1:10" x14ac:dyDescent="0.25">
      <c r="A26" t="s">
        <v>15</v>
      </c>
      <c r="C26" s="40">
        <v>14511669.169097429</v>
      </c>
      <c r="D26" s="40">
        <v>14658251.685957</v>
      </c>
      <c r="E26" s="40">
        <v>14806314.8343</v>
      </c>
      <c r="F26" s="40">
        <v>14955873.57</v>
      </c>
      <c r="G26" s="13">
        <f>'Balance sheet'!K37</f>
        <v>12374743</v>
      </c>
      <c r="H26" s="13">
        <f t="shared" si="1"/>
        <v>14261370.451870888</v>
      </c>
      <c r="I26" s="13">
        <f t="shared" si="3"/>
        <v>13068501.31562533</v>
      </c>
      <c r="J26" s="29">
        <f>'Balance sheet'!O37</f>
        <v>12441109.295499999</v>
      </c>
    </row>
    <row r="27" spans="1:10" x14ac:dyDescent="0.25">
      <c r="A27" t="s">
        <v>16</v>
      </c>
      <c r="C27" s="40">
        <v>4461615.9277143301</v>
      </c>
      <c r="D27" s="40">
        <v>4506682.7552669998</v>
      </c>
      <c r="E27" s="40">
        <v>4552204.8032999998</v>
      </c>
      <c r="F27" s="40">
        <v>4598186.67</v>
      </c>
      <c r="G27" s="13">
        <f>'Balance sheet'!C22</f>
        <v>4644633</v>
      </c>
      <c r="H27" s="13">
        <f t="shared" si="1"/>
        <v>4552664.6312562656</v>
      </c>
      <c r="I27" s="13">
        <f t="shared" si="3"/>
        <v>4689926.049047567</v>
      </c>
      <c r="J27" s="29">
        <f>'Balance sheet'!G22</f>
        <v>4531386.2955</v>
      </c>
    </row>
    <row r="28" spans="1:10" x14ac:dyDescent="0.25">
      <c r="A28" t="s">
        <v>17</v>
      </c>
      <c r="C28" s="40">
        <v>1766640.7673550898</v>
      </c>
      <c r="D28" s="40">
        <v>1784485.6235909997</v>
      </c>
      <c r="E28" s="40">
        <v>1802510.7308999998</v>
      </c>
      <c r="F28" s="40">
        <v>1820717.91</v>
      </c>
      <c r="G28" s="13">
        <v>1839109</v>
      </c>
      <c r="H28" s="13">
        <f t="shared" si="1"/>
        <v>1802692.8063692178</v>
      </c>
      <c r="I28" s="13">
        <f t="shared" si="3"/>
        <v>1857043.4318788638</v>
      </c>
      <c r="J28" s="29">
        <f>'Balance sheet'!O18</f>
        <v>1889109</v>
      </c>
    </row>
    <row r="29" spans="1:10" x14ac:dyDescent="0.25">
      <c r="A29" t="s">
        <v>18</v>
      </c>
      <c r="C29" s="40">
        <v>2227087.0952124298</v>
      </c>
      <c r="D29" s="40">
        <v>2249582.9244569996</v>
      </c>
      <c r="E29" s="40">
        <v>2272305.9842999997</v>
      </c>
      <c r="F29" s="40">
        <v>2295258.5699999998</v>
      </c>
      <c r="G29" s="13">
        <f>'Balance sheet'!K27</f>
        <v>4318443</v>
      </c>
      <c r="H29" s="13">
        <f t="shared" si="1"/>
        <v>2672535.5147938859</v>
      </c>
      <c r="I29" s="13">
        <f t="shared" si="3"/>
        <v>3941051.7513293279</v>
      </c>
      <c r="J29" s="29">
        <f>'Balance sheet'!O27</f>
        <v>3818443</v>
      </c>
    </row>
    <row r="30" spans="1:10" x14ac:dyDescent="0.25">
      <c r="A30" t="s">
        <v>19</v>
      </c>
      <c r="C30" s="40">
        <v>14531898.36047202</v>
      </c>
      <c r="D30" s="40">
        <v>14678685.212598</v>
      </c>
      <c r="E30" s="40">
        <v>14826954.760199999</v>
      </c>
      <c r="F30" s="40">
        <v>14976721.98</v>
      </c>
      <c r="G30" s="13">
        <f>'Balance sheet'!C34</f>
        <v>13539102</v>
      </c>
      <c r="H30" s="13">
        <f t="shared" si="1"/>
        <v>14510672.462654004</v>
      </c>
      <c r="I30" s="13">
        <f t="shared" si="3"/>
        <v>14004405.676591393</v>
      </c>
      <c r="J30" s="29">
        <f>'Balance sheet'!G34</f>
        <v>13198715</v>
      </c>
    </row>
    <row r="31" spans="1:10" x14ac:dyDescent="0.25">
      <c r="A31" t="s">
        <v>20</v>
      </c>
      <c r="C31" s="40">
        <v>1664933.8224122999</v>
      </c>
      <c r="D31" s="40">
        <v>1681751.33577</v>
      </c>
      <c r="E31" s="40">
        <v>1698738.723</v>
      </c>
      <c r="F31" s="40">
        <v>1715897.7</v>
      </c>
      <c r="G31" s="13">
        <v>1733230</v>
      </c>
      <c r="H31" s="13">
        <f t="shared" si="1"/>
        <v>1698910.3162364601</v>
      </c>
      <c r="I31" s="13">
        <f t="shared" si="3"/>
        <v>1750131.9320580801</v>
      </c>
      <c r="J31" s="29">
        <f>'Balance sheet'!G10</f>
        <v>1733230.0000000012</v>
      </c>
    </row>
    <row r="32" spans="1:10" x14ac:dyDescent="0.25">
      <c r="C32" s="2"/>
      <c r="D32" s="2"/>
      <c r="E32" s="2"/>
      <c r="F32" s="2"/>
      <c r="G32" s="2"/>
      <c r="H32" s="2"/>
      <c r="I32" s="2"/>
      <c r="J32" s="30"/>
    </row>
    <row r="33" spans="1:10" x14ac:dyDescent="0.25">
      <c r="A33" t="s">
        <v>15</v>
      </c>
      <c r="C33" s="12">
        <f>C26/C25</f>
        <v>0.75079750482016583</v>
      </c>
      <c r="D33" s="12">
        <f t="shared" ref="D33:J33" si="4">D26/D25</f>
        <v>0.75079750482016583</v>
      </c>
      <c r="E33" s="12">
        <f t="shared" si="4"/>
        <v>0.75079750482016594</v>
      </c>
      <c r="F33" s="12">
        <f t="shared" si="4"/>
        <v>0.75079750482016594</v>
      </c>
      <c r="G33" s="12">
        <f t="shared" si="4"/>
        <v>0.66773937064999234</v>
      </c>
      <c r="H33" s="12">
        <f t="shared" si="4"/>
        <v>0.73493295217150834</v>
      </c>
      <c r="I33" s="12">
        <f t="shared" si="4"/>
        <v>0.68614416679735479</v>
      </c>
      <c r="J33" s="31">
        <f t="shared" si="4"/>
        <v>0.68551112905417433</v>
      </c>
    </row>
    <row r="34" spans="1:10" x14ac:dyDescent="0.25">
      <c r="A34" t="s">
        <v>21</v>
      </c>
      <c r="C34" s="13">
        <f>C27-C28</f>
        <v>2694975.1603592401</v>
      </c>
      <c r="D34" s="13">
        <f t="shared" ref="D34:J34" si="5">D27-D28</f>
        <v>2722197.1316760001</v>
      </c>
      <c r="E34" s="13">
        <f t="shared" si="5"/>
        <v>2749694.0723999999</v>
      </c>
      <c r="F34" s="13">
        <f t="shared" si="5"/>
        <v>2777468.76</v>
      </c>
      <c r="G34" s="13">
        <f t="shared" si="5"/>
        <v>2805524</v>
      </c>
      <c r="H34" s="13">
        <f t="shared" si="5"/>
        <v>2749971.8248870475</v>
      </c>
      <c r="I34" s="13">
        <f t="shared" si="5"/>
        <v>2832882.6171687031</v>
      </c>
      <c r="J34" s="29">
        <f t="shared" si="5"/>
        <v>2642277.2955</v>
      </c>
    </row>
    <row r="35" spans="1:10" x14ac:dyDescent="0.25">
      <c r="A35" t="s">
        <v>22</v>
      </c>
      <c r="C35" s="26">
        <f>C27/C28</f>
        <v>2.5254800014572276</v>
      </c>
      <c r="D35" s="26">
        <f t="shared" ref="D35:J35" si="6">D27/D28</f>
        <v>2.5254800014572276</v>
      </c>
      <c r="E35" s="26">
        <f t="shared" si="6"/>
        <v>2.5254800014572276</v>
      </c>
      <c r="F35" s="26">
        <f t="shared" si="6"/>
        <v>2.5254800014572276</v>
      </c>
      <c r="G35" s="26">
        <f t="shared" si="6"/>
        <v>2.5254800014572272</v>
      </c>
      <c r="H35" s="26">
        <f t="shared" si="6"/>
        <v>2.5254800014572276</v>
      </c>
      <c r="I35" s="26">
        <f t="shared" si="6"/>
        <v>2.5254800014572272</v>
      </c>
      <c r="J35" s="32">
        <f t="shared" si="6"/>
        <v>2.398689697365266</v>
      </c>
    </row>
    <row r="36" spans="1:10" x14ac:dyDescent="0.25">
      <c r="A36" t="s">
        <v>23</v>
      </c>
      <c r="C36" s="12">
        <f>C29/C30</f>
        <v>0.1532550696384096</v>
      </c>
      <c r="D36" s="12">
        <f t="shared" ref="D36:J36" si="7">D29/D30</f>
        <v>0.1532550696384096</v>
      </c>
      <c r="E36" s="12">
        <f t="shared" si="7"/>
        <v>0.1532550696384096</v>
      </c>
      <c r="F36" s="12">
        <f t="shared" si="7"/>
        <v>0.1532550696384096</v>
      </c>
      <c r="G36" s="12">
        <f t="shared" si="7"/>
        <v>0.31896081438783752</v>
      </c>
      <c r="H36" s="12">
        <f t="shared" si="7"/>
        <v>0.18417723380306242</v>
      </c>
      <c r="I36" s="12">
        <f t="shared" si="7"/>
        <v>0.28141513766034815</v>
      </c>
      <c r="J36" s="31">
        <f t="shared" si="7"/>
        <v>0.28930414816896949</v>
      </c>
    </row>
    <row r="37" spans="1:10" x14ac:dyDescent="0.25">
      <c r="A37" t="s">
        <v>24</v>
      </c>
    </row>
    <row r="39" spans="1:10" x14ac:dyDescent="0.25">
      <c r="A39" t="s">
        <v>25</v>
      </c>
    </row>
    <row r="40" spans="1:10" x14ac:dyDescent="0.25">
      <c r="A40" t="s">
        <v>26</v>
      </c>
    </row>
    <row r="41" spans="1:10" x14ac:dyDescent="0.25">
      <c r="A41" t="s">
        <v>27</v>
      </c>
    </row>
    <row r="42" spans="1:10" x14ac:dyDescent="0.25">
      <c r="A42" t="s">
        <v>28</v>
      </c>
    </row>
    <row r="43" spans="1:10" x14ac:dyDescent="0.25">
      <c r="A43" t="s">
        <v>29</v>
      </c>
    </row>
    <row r="46" spans="1:10" x14ac:dyDescent="0.25">
      <c r="A46" t="s">
        <v>30</v>
      </c>
      <c r="E46" t="s">
        <v>33</v>
      </c>
    </row>
    <row r="47" spans="1:10" x14ac:dyDescent="0.25">
      <c r="A47" t="s">
        <v>31</v>
      </c>
    </row>
    <row r="48" spans="1:10" x14ac:dyDescent="0.25">
      <c r="A48" t="s">
        <v>32</v>
      </c>
      <c r="B48">
        <v>40102</v>
      </c>
      <c r="D48" t="s">
        <v>6</v>
      </c>
      <c r="E48" t="s">
        <v>6</v>
      </c>
      <c r="F48" t="s">
        <v>6</v>
      </c>
      <c r="G48" t="s">
        <v>6</v>
      </c>
      <c r="J48" t="s">
        <v>132</v>
      </c>
    </row>
    <row r="49" spans="1:11" x14ac:dyDescent="0.25">
      <c r="A49" t="s">
        <v>34</v>
      </c>
      <c r="C49" t="s">
        <v>6</v>
      </c>
      <c r="D49" t="s">
        <v>35</v>
      </c>
      <c r="F49" t="s">
        <v>36</v>
      </c>
      <c r="J49" t="s">
        <v>135</v>
      </c>
      <c r="K49" s="3">
        <v>0</v>
      </c>
    </row>
    <row r="50" spans="1:11" x14ac:dyDescent="0.25">
      <c r="B50" t="s">
        <v>37</v>
      </c>
      <c r="C50" t="s">
        <v>423</v>
      </c>
      <c r="D50" t="s">
        <v>38</v>
      </c>
      <c r="E50" t="s">
        <v>424</v>
      </c>
      <c r="F50" t="s">
        <v>39</v>
      </c>
      <c r="G50" t="s">
        <v>40</v>
      </c>
      <c r="J50" t="s">
        <v>133</v>
      </c>
      <c r="K50" s="3">
        <v>0</v>
      </c>
    </row>
    <row r="51" spans="1:11" x14ac:dyDescent="0.25">
      <c r="A51" t="s">
        <v>41</v>
      </c>
      <c r="B51" s="1">
        <v>1E-3</v>
      </c>
      <c r="C51" s="1">
        <v>1E-3</v>
      </c>
      <c r="D51" s="2">
        <f>IF(AND(B51&gt;0,C51&gt;0)=TRUE,C51/B51,0)</f>
        <v>1</v>
      </c>
      <c r="E51" s="1"/>
      <c r="F51">
        <f>IF(AND(B51&gt;0,E51&gt;0)=TRUE,E51/B51,0)</f>
        <v>0</v>
      </c>
      <c r="G51">
        <f>IF(AND(C51&gt;0,E51&gt;0)=TRUE,E51/C51,0)</f>
        <v>0</v>
      </c>
      <c r="J51" t="s">
        <v>134</v>
      </c>
      <c r="K51" s="3">
        <v>0</v>
      </c>
    </row>
    <row r="52" spans="1:11" x14ac:dyDescent="0.25">
      <c r="A52" t="s">
        <v>42</v>
      </c>
      <c r="B52" s="1">
        <v>981</v>
      </c>
      <c r="C52" s="1">
        <v>14262</v>
      </c>
      <c r="D52" s="2">
        <f t="shared" ref="D52:D64" si="8">IF(AND(B52&gt;0,C52&gt;0)=TRUE,C52/B52,0)</f>
        <v>14.538226299694189</v>
      </c>
      <c r="E52" s="1">
        <v>3995</v>
      </c>
      <c r="F52">
        <f t="shared" ref="F52:F71" si="9">IF(AND(B52&gt;0,E52&gt;0)=TRUE,E52/B52,0)</f>
        <v>4.0723751274209992</v>
      </c>
      <c r="G52">
        <f t="shared" ref="G52:G71" si="10">IF(AND(C52&gt;0,E52&gt;0)=TRUE,E52/C52,0)</f>
        <v>0.28011499088486891</v>
      </c>
      <c r="K52" s="3"/>
    </row>
    <row r="53" spans="1:11" x14ac:dyDescent="0.25">
      <c r="A53" t="s">
        <v>43</v>
      </c>
      <c r="B53" s="1">
        <v>2794</v>
      </c>
      <c r="C53" s="1">
        <v>28322</v>
      </c>
      <c r="D53" s="2">
        <f t="shared" si="8"/>
        <v>10.136721546170365</v>
      </c>
      <c r="E53" s="1">
        <v>194</v>
      </c>
      <c r="F53">
        <f t="shared" si="9"/>
        <v>6.9434502505368645E-2</v>
      </c>
      <c r="G53">
        <f t="shared" si="10"/>
        <v>6.8497987430266227E-3</v>
      </c>
      <c r="J53" t="s">
        <v>136</v>
      </c>
      <c r="K53" s="3">
        <v>0</v>
      </c>
    </row>
    <row r="54" spans="1:11" x14ac:dyDescent="0.25">
      <c r="A54" t="s">
        <v>44</v>
      </c>
      <c r="B54" s="1">
        <v>10627</v>
      </c>
      <c r="C54" s="1">
        <v>115093</v>
      </c>
      <c r="D54" s="2">
        <f t="shared" si="8"/>
        <v>10.830243718829397</v>
      </c>
      <c r="E54" s="1">
        <v>7192</v>
      </c>
      <c r="F54">
        <f t="shared" si="9"/>
        <v>0.6767667262632916</v>
      </c>
      <c r="G54">
        <f t="shared" si="10"/>
        <v>6.248859617874241E-2</v>
      </c>
      <c r="J54" t="s">
        <v>137</v>
      </c>
      <c r="K54" s="3">
        <v>0</v>
      </c>
    </row>
    <row r="55" spans="1:11" x14ac:dyDescent="0.25">
      <c r="A55" t="s">
        <v>45</v>
      </c>
      <c r="B55" s="1"/>
      <c r="C55" s="1"/>
      <c r="D55" s="2">
        <f t="shared" si="8"/>
        <v>0</v>
      </c>
      <c r="E55" s="1">
        <v>1E-3</v>
      </c>
      <c r="F55">
        <f t="shared" si="9"/>
        <v>0</v>
      </c>
      <c r="G55">
        <f t="shared" si="10"/>
        <v>0</v>
      </c>
    </row>
    <row r="56" spans="1:11" x14ac:dyDescent="0.25">
      <c r="B56" s="1"/>
      <c r="C56" s="1"/>
      <c r="D56" s="2">
        <f t="shared" si="8"/>
        <v>0</v>
      </c>
      <c r="E56" s="1">
        <v>1E-3</v>
      </c>
      <c r="F56">
        <f t="shared" si="9"/>
        <v>0</v>
      </c>
      <c r="G56">
        <f t="shared" si="10"/>
        <v>0</v>
      </c>
    </row>
    <row r="57" spans="1:11" x14ac:dyDescent="0.25">
      <c r="A57" t="s">
        <v>122</v>
      </c>
      <c r="C57" t="s">
        <v>6</v>
      </c>
      <c r="D57" s="2"/>
      <c r="E57" s="2" t="s">
        <v>6</v>
      </c>
    </row>
    <row r="58" spans="1:11" x14ac:dyDescent="0.25">
      <c r="A58" t="s">
        <v>46</v>
      </c>
      <c r="B58" s="1"/>
      <c r="C58" s="1">
        <v>1884560</v>
      </c>
      <c r="D58" s="2">
        <f t="shared" si="8"/>
        <v>0</v>
      </c>
      <c r="E58" s="1">
        <v>255203</v>
      </c>
      <c r="F58">
        <f t="shared" si="9"/>
        <v>0</v>
      </c>
      <c r="G58">
        <f t="shared" si="10"/>
        <v>0.13541781636031752</v>
      </c>
    </row>
    <row r="59" spans="1:11" x14ac:dyDescent="0.25">
      <c r="A59" t="s">
        <v>48</v>
      </c>
      <c r="B59" s="1"/>
      <c r="C59" s="1">
        <v>797367</v>
      </c>
      <c r="D59" s="2">
        <f t="shared" si="8"/>
        <v>0</v>
      </c>
      <c r="E59" s="1">
        <v>13980</v>
      </c>
      <c r="F59">
        <f t="shared" si="9"/>
        <v>0</v>
      </c>
      <c r="G59">
        <f t="shared" si="10"/>
        <v>1.7532704513730818E-2</v>
      </c>
    </row>
    <row r="60" spans="1:11" x14ac:dyDescent="0.25">
      <c r="A60" t="s">
        <v>50</v>
      </c>
      <c r="B60" s="1">
        <v>33146</v>
      </c>
      <c r="C60" s="1">
        <v>19830771</v>
      </c>
      <c r="D60" s="2">
        <f t="shared" si="8"/>
        <v>598.28549447897183</v>
      </c>
      <c r="E60" s="1">
        <v>3224050</v>
      </c>
      <c r="F60">
        <f t="shared" si="9"/>
        <v>97.268146986061666</v>
      </c>
      <c r="G60">
        <f t="shared" si="10"/>
        <v>0.16257814686075495</v>
      </c>
    </row>
    <row r="61" spans="1:11" x14ac:dyDescent="0.25">
      <c r="A61" t="s">
        <v>52</v>
      </c>
      <c r="B61" s="1"/>
      <c r="C61" s="1">
        <v>3096301</v>
      </c>
      <c r="D61" s="2">
        <f t="shared" si="8"/>
        <v>0</v>
      </c>
      <c r="E61" s="1">
        <v>32760</v>
      </c>
      <c r="F61">
        <f t="shared" si="9"/>
        <v>0</v>
      </c>
      <c r="G61">
        <f t="shared" si="10"/>
        <v>1.0580366702074507E-2</v>
      </c>
    </row>
    <row r="62" spans="1:11" x14ac:dyDescent="0.25">
      <c r="A62" t="s">
        <v>53</v>
      </c>
      <c r="B62" s="1"/>
      <c r="C62" s="1">
        <v>463679</v>
      </c>
      <c r="D62" s="2">
        <f t="shared" si="8"/>
        <v>0</v>
      </c>
      <c r="E62" s="1">
        <v>128663</v>
      </c>
      <c r="F62">
        <f t="shared" si="9"/>
        <v>0</v>
      </c>
      <c r="G62">
        <f t="shared" si="10"/>
        <v>0.27748291382615992</v>
      </c>
    </row>
    <row r="63" spans="1:11" x14ac:dyDescent="0.25">
      <c r="A63" t="s">
        <v>54</v>
      </c>
      <c r="B63" s="1"/>
      <c r="C63" s="1">
        <v>541548</v>
      </c>
      <c r="D63" s="2">
        <f t="shared" si="8"/>
        <v>0</v>
      </c>
      <c r="E63" s="1">
        <v>15806</v>
      </c>
      <c r="F63">
        <f t="shared" si="9"/>
        <v>0</v>
      </c>
      <c r="G63">
        <f t="shared" si="10"/>
        <v>2.9186701825138307E-2</v>
      </c>
    </row>
    <row r="64" spans="1:11" x14ac:dyDescent="0.25">
      <c r="B64" s="1"/>
      <c r="C64" s="1"/>
      <c r="D64" s="2">
        <f t="shared" si="8"/>
        <v>0</v>
      </c>
      <c r="E64" s="1"/>
      <c r="F64">
        <f t="shared" si="9"/>
        <v>0</v>
      </c>
      <c r="G64">
        <f t="shared" si="10"/>
        <v>0</v>
      </c>
    </row>
    <row r="65" spans="1:7" x14ac:dyDescent="0.25">
      <c r="A65" t="s">
        <v>49</v>
      </c>
      <c r="B65">
        <v>2153299</v>
      </c>
      <c r="C65" s="1">
        <v>6142430</v>
      </c>
      <c r="E65" s="1">
        <v>180411</v>
      </c>
      <c r="F65">
        <f t="shared" si="9"/>
        <v>8.3783534009907581E-2</v>
      </c>
      <c r="G65">
        <f t="shared" si="10"/>
        <v>2.937127488632349E-2</v>
      </c>
    </row>
    <row r="66" spans="1:7" x14ac:dyDescent="0.25">
      <c r="A66" t="s">
        <v>51</v>
      </c>
      <c r="B66">
        <v>4523766</v>
      </c>
      <c r="C66" s="1">
        <v>15408605</v>
      </c>
      <c r="E66" s="1">
        <v>454633</v>
      </c>
      <c r="F66">
        <f t="shared" si="9"/>
        <v>0.10049878795675993</v>
      </c>
      <c r="G66">
        <f t="shared" si="10"/>
        <v>2.9505136902399667E-2</v>
      </c>
    </row>
    <row r="67" spans="1:7" x14ac:dyDescent="0.25">
      <c r="A67" t="s">
        <v>55</v>
      </c>
      <c r="C67" s="1">
        <v>326096</v>
      </c>
      <c r="E67" s="1">
        <v>81521</v>
      </c>
      <c r="F67">
        <f t="shared" si="9"/>
        <v>0</v>
      </c>
      <c r="G67">
        <f t="shared" si="10"/>
        <v>0.24999080025513959</v>
      </c>
    </row>
    <row r="68" spans="1:7" x14ac:dyDescent="0.25">
      <c r="A68" t="s">
        <v>126</v>
      </c>
      <c r="C68" s="1">
        <v>577909</v>
      </c>
      <c r="E68" s="1">
        <v>110157</v>
      </c>
      <c r="F68">
        <f t="shared" si="9"/>
        <v>0</v>
      </c>
      <c r="G68">
        <f t="shared" si="10"/>
        <v>0.1906130549965479</v>
      </c>
    </row>
    <row r="69" spans="1:7" x14ac:dyDescent="0.25">
      <c r="A69" t="s">
        <v>47</v>
      </c>
      <c r="C69" s="1">
        <v>1E-3</v>
      </c>
      <c r="E69" s="1">
        <v>1E-3</v>
      </c>
      <c r="F69">
        <f t="shared" si="9"/>
        <v>0</v>
      </c>
      <c r="G69">
        <f t="shared" si="10"/>
        <v>1</v>
      </c>
    </row>
    <row r="70" spans="1:7" x14ac:dyDescent="0.25">
      <c r="C70" s="1">
        <v>1E-3</v>
      </c>
      <c r="E70" s="1">
        <v>1E-3</v>
      </c>
      <c r="F70">
        <f t="shared" si="9"/>
        <v>0</v>
      </c>
      <c r="G70">
        <f t="shared" si="10"/>
        <v>1</v>
      </c>
    </row>
    <row r="71" spans="1:7" x14ac:dyDescent="0.25">
      <c r="C71" s="1">
        <v>1E-3</v>
      </c>
      <c r="E71" s="1">
        <v>1E-3</v>
      </c>
      <c r="F71">
        <f t="shared" si="9"/>
        <v>0</v>
      </c>
      <c r="G71">
        <f t="shared" si="10"/>
        <v>1</v>
      </c>
    </row>
    <row r="72" spans="1:7" x14ac:dyDescent="0.25">
      <c r="A72" t="s">
        <v>6</v>
      </c>
      <c r="B72" t="s">
        <v>6</v>
      </c>
      <c r="C72" s="1" t="s">
        <v>6</v>
      </c>
      <c r="D72" t="s">
        <v>6</v>
      </c>
      <c r="E72" s="1" t="s">
        <v>6</v>
      </c>
      <c r="F72" t="s">
        <v>6</v>
      </c>
      <c r="G72" t="s">
        <v>6</v>
      </c>
    </row>
    <row r="73" spans="1:7" x14ac:dyDescent="0.25">
      <c r="A73" t="s">
        <v>56</v>
      </c>
      <c r="B73" t="s">
        <v>6</v>
      </c>
      <c r="C73">
        <v>157677.00299999997</v>
      </c>
      <c r="E73">
        <v>11381.002</v>
      </c>
      <c r="G73">
        <v>7.2179213096788777E-2</v>
      </c>
    </row>
    <row r="74" spans="1:7" x14ac:dyDescent="0.25">
      <c r="A74" t="s">
        <v>57</v>
      </c>
      <c r="B74" t="s">
        <v>6</v>
      </c>
      <c r="C74">
        <v>49256179.003000006</v>
      </c>
      <c r="E74">
        <v>4557719.0030000005</v>
      </c>
      <c r="G74">
        <v>9.2530908715481308E-2</v>
      </c>
    </row>
    <row r="75" spans="1:7" x14ac:dyDescent="0.25">
      <c r="A75" t="s">
        <v>58</v>
      </c>
      <c r="C75" t="s">
        <v>6</v>
      </c>
      <c r="D75" t="s">
        <v>6</v>
      </c>
      <c r="E75">
        <v>4569100.0050000008</v>
      </c>
      <c r="F75" t="s">
        <v>6</v>
      </c>
      <c r="G75" t="s">
        <v>6</v>
      </c>
    </row>
    <row r="76" spans="1:7" x14ac:dyDescent="0.25">
      <c r="A76" t="s">
        <v>59</v>
      </c>
      <c r="B76" t="s">
        <v>6</v>
      </c>
      <c r="E76">
        <v>6766839</v>
      </c>
      <c r="G76" t="s">
        <v>6</v>
      </c>
    </row>
    <row r="78" spans="1:7" x14ac:dyDescent="0.25">
      <c r="A78" t="s">
        <v>60</v>
      </c>
      <c r="C78">
        <v>49413856.006000005</v>
      </c>
      <c r="E78">
        <v>11335939.005000001</v>
      </c>
      <c r="G78">
        <v>0.22940810374368581</v>
      </c>
    </row>
    <row r="83" spans="3:8" x14ac:dyDescent="0.25">
      <c r="C83" t="s">
        <v>272</v>
      </c>
    </row>
    <row r="84" spans="3:8" x14ac:dyDescent="0.25">
      <c r="C84">
        <v>1</v>
      </c>
      <c r="D84">
        <v>2</v>
      </c>
      <c r="E84">
        <v>3</v>
      </c>
      <c r="F84">
        <v>4</v>
      </c>
      <c r="G84">
        <v>5</v>
      </c>
      <c r="H84">
        <v>6</v>
      </c>
    </row>
  </sheetData>
  <phoneticPr fontId="2" type="noConversion"/>
  <hyperlinks>
    <hyperlink ref="D6" location="Instructions!L8" display="Instructions!L8"/>
  </hyperlinks>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2"/>
  <sheetViews>
    <sheetView topLeftCell="A61" zoomScale="90" zoomScaleNormal="90" workbookViewId="0">
      <selection activeCell="C6" sqref="C6"/>
    </sheetView>
  </sheetViews>
  <sheetFormatPr defaultRowHeight="15" x14ac:dyDescent="0.25"/>
  <cols>
    <col min="2" max="2" width="17" customWidth="1"/>
  </cols>
  <sheetData>
    <row r="1" spans="1:15" x14ac:dyDescent="0.25">
      <c r="C1" s="2"/>
    </row>
    <row r="2" spans="1:15" x14ac:dyDescent="0.25">
      <c r="B2" s="52"/>
      <c r="C2" s="79" t="s">
        <v>409</v>
      </c>
      <c r="D2" s="79"/>
      <c r="E2" s="79"/>
      <c r="F2" s="79"/>
      <c r="G2" s="79"/>
      <c r="H2" s="79"/>
      <c r="I2" s="79"/>
      <c r="J2" s="79"/>
      <c r="K2" s="79"/>
      <c r="L2" s="79"/>
    </row>
    <row r="3" spans="1:15" x14ac:dyDescent="0.25">
      <c r="C3" s="35" t="s">
        <v>322</v>
      </c>
      <c r="D3" s="35"/>
      <c r="E3" s="35"/>
      <c r="F3" s="35"/>
      <c r="G3" s="35"/>
      <c r="H3" s="35"/>
      <c r="I3" s="35"/>
      <c r="J3" s="35"/>
    </row>
    <row r="4" spans="1:15" x14ac:dyDescent="0.25">
      <c r="B4" s="51"/>
      <c r="C4" s="37" t="s">
        <v>303</v>
      </c>
      <c r="D4" s="37"/>
      <c r="E4" s="37"/>
      <c r="F4" s="37"/>
      <c r="G4" s="37"/>
      <c r="H4" s="37"/>
      <c r="I4" s="37"/>
      <c r="J4" s="37"/>
    </row>
    <row r="5" spans="1:15" x14ac:dyDescent="0.25">
      <c r="C5" t="s">
        <v>408</v>
      </c>
    </row>
    <row r="6" spans="1:15" x14ac:dyDescent="0.25">
      <c r="C6" s="36" t="str">
        <f>'Monthly Sales Worksheet'!$C$6</f>
        <v>Back to Instructions</v>
      </c>
    </row>
    <row r="8" spans="1:15" x14ac:dyDescent="0.25">
      <c r="C8" t="s">
        <v>139</v>
      </c>
      <c r="D8" t="s">
        <v>140</v>
      </c>
      <c r="E8" t="s">
        <v>141</v>
      </c>
      <c r="F8" t="s">
        <v>142</v>
      </c>
      <c r="G8" t="s">
        <v>143</v>
      </c>
      <c r="H8" t="s">
        <v>144</v>
      </c>
      <c r="I8" t="s">
        <v>145</v>
      </c>
      <c r="J8" t="s">
        <v>146</v>
      </c>
      <c r="K8" t="s">
        <v>147</v>
      </c>
      <c r="L8" t="s">
        <v>148</v>
      </c>
      <c r="M8" t="s">
        <v>149</v>
      </c>
      <c r="N8" t="s">
        <v>150</v>
      </c>
      <c r="O8" t="s">
        <v>60</v>
      </c>
    </row>
    <row r="9" spans="1:15" x14ac:dyDescent="0.25">
      <c r="A9" s="56" t="str">
        <f>'Prior year summary'!A36</f>
        <v>Income 1</v>
      </c>
      <c r="B9" s="56" t="s">
        <v>161</v>
      </c>
      <c r="C9" s="52"/>
      <c r="D9" s="52"/>
      <c r="E9" s="52"/>
      <c r="F9" s="52"/>
      <c r="G9" s="52"/>
      <c r="H9" s="52"/>
      <c r="I9" s="52"/>
      <c r="J9" s="52"/>
      <c r="K9" s="52"/>
      <c r="L9" s="52"/>
      <c r="M9" s="52"/>
      <c r="N9">
        <f>O9-SUM(C9:M9)</f>
        <v>0</v>
      </c>
      <c r="O9">
        <f>'Prior year summary'!C36</f>
        <v>0</v>
      </c>
    </row>
    <row r="10" spans="1:15" x14ac:dyDescent="0.25">
      <c r="A10" s="56"/>
      <c r="B10" s="56" t="s">
        <v>162</v>
      </c>
      <c r="C10" s="5">
        <f t="shared" ref="C10:N10" si="0">IF($O9&gt;0,C9/$O9,0)</f>
        <v>0</v>
      </c>
      <c r="D10" s="5">
        <f t="shared" si="0"/>
        <v>0</v>
      </c>
      <c r="E10" s="5">
        <f t="shared" si="0"/>
        <v>0</v>
      </c>
      <c r="F10" s="5">
        <f t="shared" si="0"/>
        <v>0</v>
      </c>
      <c r="G10" s="5">
        <f t="shared" si="0"/>
        <v>0</v>
      </c>
      <c r="H10" s="5">
        <f t="shared" si="0"/>
        <v>0</v>
      </c>
      <c r="I10" s="5">
        <f t="shared" si="0"/>
        <v>0</v>
      </c>
      <c r="J10" s="5">
        <f t="shared" si="0"/>
        <v>0</v>
      </c>
      <c r="K10" s="5">
        <f t="shared" si="0"/>
        <v>0</v>
      </c>
      <c r="L10" s="5">
        <f t="shared" si="0"/>
        <v>0</v>
      </c>
      <c r="M10" s="5">
        <f t="shared" si="0"/>
        <v>0</v>
      </c>
      <c r="N10" s="5">
        <f t="shared" si="0"/>
        <v>0</v>
      </c>
      <c r="O10">
        <f t="shared" ref="O10:O73" si="1">SUM(C10:N10)</f>
        <v>0</v>
      </c>
    </row>
    <row r="11" spans="1:15" x14ac:dyDescent="0.25">
      <c r="A11" s="56"/>
      <c r="B11" s="56" t="s">
        <v>163</v>
      </c>
      <c r="C11" s="51">
        <v>8.3299999999999999E-2</v>
      </c>
      <c r="D11" s="51">
        <v>8.3299999999999999E-2</v>
      </c>
      <c r="E11" s="51">
        <v>8.3299999999999999E-2</v>
      </c>
      <c r="F11" s="51">
        <v>8.3299999999999999E-2</v>
      </c>
      <c r="G11" s="51">
        <v>8.3299999999999999E-2</v>
      </c>
      <c r="H11" s="51">
        <v>8.3299999999999999E-2</v>
      </c>
      <c r="I11" s="51">
        <v>8.3299999999999999E-2</v>
      </c>
      <c r="J11" s="51">
        <v>8.3299999999999999E-2</v>
      </c>
      <c r="K11" s="51">
        <v>8.3299999999999999E-2</v>
      </c>
      <c r="L11" s="51">
        <v>8.3299999999999999E-2</v>
      </c>
      <c r="M11" s="51">
        <v>8.3299999999999999E-2</v>
      </c>
      <c r="N11" s="7">
        <f>1-SUM(C11:M11)</f>
        <v>8.3699999999999886E-2</v>
      </c>
      <c r="O11">
        <f t="shared" si="1"/>
        <v>1</v>
      </c>
    </row>
    <row r="12" spans="1:15" x14ac:dyDescent="0.25">
      <c r="A12" s="56" t="str">
        <f>'Prior year summary'!A37</f>
        <v>Labor</v>
      </c>
      <c r="B12" s="56" t="s">
        <v>161</v>
      </c>
      <c r="C12" s="52"/>
      <c r="D12" s="52"/>
      <c r="E12" s="52"/>
      <c r="F12" s="52"/>
      <c r="G12" s="52"/>
      <c r="H12" s="52"/>
      <c r="I12" s="52"/>
      <c r="J12" s="52"/>
      <c r="K12" s="52"/>
      <c r="L12" s="52"/>
      <c r="M12" s="52"/>
      <c r="N12">
        <f>O12-SUM(C12:M12)</f>
        <v>96360</v>
      </c>
      <c r="O12">
        <f>'Prior year summary'!C37</f>
        <v>96360</v>
      </c>
    </row>
    <row r="13" spans="1:15" x14ac:dyDescent="0.25">
      <c r="A13" s="56"/>
      <c r="B13" s="56" t="s">
        <v>162</v>
      </c>
      <c r="C13" s="5">
        <f t="shared" ref="C13:N13" si="2">IF($O12&gt;0,C12/$O12,0)</f>
        <v>0</v>
      </c>
      <c r="D13" s="5">
        <f t="shared" si="2"/>
        <v>0</v>
      </c>
      <c r="E13" s="5">
        <f t="shared" si="2"/>
        <v>0</v>
      </c>
      <c r="F13" s="5">
        <f t="shared" si="2"/>
        <v>0</v>
      </c>
      <c r="G13" s="5">
        <f t="shared" si="2"/>
        <v>0</v>
      </c>
      <c r="H13" s="5">
        <f t="shared" si="2"/>
        <v>0</v>
      </c>
      <c r="I13" s="5">
        <f t="shared" si="2"/>
        <v>0</v>
      </c>
      <c r="J13" s="5">
        <f t="shared" si="2"/>
        <v>0</v>
      </c>
      <c r="K13" s="5">
        <f t="shared" si="2"/>
        <v>0</v>
      </c>
      <c r="L13" s="5">
        <f t="shared" si="2"/>
        <v>0</v>
      </c>
      <c r="M13" s="5">
        <f t="shared" si="2"/>
        <v>0</v>
      </c>
      <c r="N13" s="5">
        <f t="shared" si="2"/>
        <v>1</v>
      </c>
      <c r="O13">
        <f t="shared" si="1"/>
        <v>1</v>
      </c>
    </row>
    <row r="14" spans="1:15" x14ac:dyDescent="0.25">
      <c r="A14" s="56"/>
      <c r="B14" s="56" t="s">
        <v>163</v>
      </c>
      <c r="C14" s="51">
        <v>8.3299999999999999E-2</v>
      </c>
      <c r="D14" s="51">
        <v>8.3299999999999999E-2</v>
      </c>
      <c r="E14" s="51">
        <v>8.3299999999999999E-2</v>
      </c>
      <c r="F14" s="51">
        <v>8.3299999999999999E-2</v>
      </c>
      <c r="G14" s="51">
        <v>8.3299999999999999E-2</v>
      </c>
      <c r="H14" s="51">
        <v>8.3299999999999999E-2</v>
      </c>
      <c r="I14" s="51">
        <v>8.3299999999999999E-2</v>
      </c>
      <c r="J14" s="51">
        <v>8.3299999999999999E-2</v>
      </c>
      <c r="K14" s="51">
        <v>8.3299999999999999E-2</v>
      </c>
      <c r="L14" s="51">
        <v>8.3299999999999999E-2</v>
      </c>
      <c r="M14" s="51">
        <v>8.3299999999999999E-2</v>
      </c>
      <c r="N14" s="7">
        <f>1-SUM(C14:M14)</f>
        <v>8.3699999999999886E-2</v>
      </c>
      <c r="O14">
        <f t="shared" si="1"/>
        <v>1</v>
      </c>
    </row>
    <row r="15" spans="1:15" x14ac:dyDescent="0.25">
      <c r="A15" s="56" t="str">
        <f>'Prior year summary'!A38</f>
        <v>Cleaning and Treating Income</v>
      </c>
      <c r="B15" s="56" t="s">
        <v>161</v>
      </c>
      <c r="C15" s="52"/>
      <c r="D15" s="52"/>
      <c r="E15" s="52"/>
      <c r="F15" s="52"/>
      <c r="G15" s="52"/>
      <c r="H15" s="52"/>
      <c r="I15" s="52"/>
      <c r="J15" s="52"/>
      <c r="K15" s="52"/>
      <c r="L15" s="52"/>
      <c r="M15" s="52"/>
      <c r="N15">
        <f>O15-SUM(C15:M15)</f>
        <v>137372</v>
      </c>
      <c r="O15">
        <f>'Prior year summary'!C38</f>
        <v>137372</v>
      </c>
    </row>
    <row r="16" spans="1:15" x14ac:dyDescent="0.25">
      <c r="A16" s="56"/>
      <c r="B16" s="56" t="s">
        <v>162</v>
      </c>
      <c r="C16" s="5">
        <f t="shared" ref="C16:N16" si="3">IF($O15&gt;0,C15/$O15,0)</f>
        <v>0</v>
      </c>
      <c r="D16" s="5">
        <f t="shared" si="3"/>
        <v>0</v>
      </c>
      <c r="E16" s="5">
        <f t="shared" si="3"/>
        <v>0</v>
      </c>
      <c r="F16" s="5">
        <f t="shared" si="3"/>
        <v>0</v>
      </c>
      <c r="G16" s="5">
        <f t="shared" si="3"/>
        <v>0</v>
      </c>
      <c r="H16" s="5">
        <f t="shared" si="3"/>
        <v>0</v>
      </c>
      <c r="I16" s="5">
        <f t="shared" si="3"/>
        <v>0</v>
      </c>
      <c r="J16" s="5">
        <f t="shared" si="3"/>
        <v>0</v>
      </c>
      <c r="K16" s="5">
        <f t="shared" si="3"/>
        <v>0</v>
      </c>
      <c r="L16" s="5">
        <f t="shared" si="3"/>
        <v>0</v>
      </c>
      <c r="M16" s="5">
        <f t="shared" si="3"/>
        <v>0</v>
      </c>
      <c r="N16" s="5">
        <f t="shared" si="3"/>
        <v>1</v>
      </c>
      <c r="O16">
        <f t="shared" si="1"/>
        <v>1</v>
      </c>
    </row>
    <row r="17" spans="1:15" x14ac:dyDescent="0.25">
      <c r="A17" s="56"/>
      <c r="B17" s="56" t="s">
        <v>163</v>
      </c>
      <c r="C17" s="51">
        <v>8.3299999999999999E-2</v>
      </c>
      <c r="D17" s="51">
        <v>8.3299999999999999E-2</v>
      </c>
      <c r="E17" s="51">
        <v>8.3299999999999999E-2</v>
      </c>
      <c r="F17" s="51">
        <v>8.3299999999999999E-2</v>
      </c>
      <c r="G17" s="51">
        <v>8.3299999999999999E-2</v>
      </c>
      <c r="H17" s="51">
        <v>8.3299999999999999E-2</v>
      </c>
      <c r="I17" s="51">
        <v>8.3299999999999999E-2</v>
      </c>
      <c r="J17" s="51">
        <v>8.3299999999999999E-2</v>
      </c>
      <c r="K17" s="51">
        <v>8.3299999999999999E-2</v>
      </c>
      <c r="L17" s="51">
        <v>8.3299999999999999E-2</v>
      </c>
      <c r="M17" s="51">
        <v>8.3299999999999999E-2</v>
      </c>
      <c r="N17" s="7">
        <f>1-SUM(C17:M17)</f>
        <v>8.3699999999999886E-2</v>
      </c>
      <c r="O17">
        <f t="shared" si="1"/>
        <v>1</v>
      </c>
    </row>
    <row r="18" spans="1:15" x14ac:dyDescent="0.25">
      <c r="A18" s="56" t="str">
        <f>'Prior year summary'!A39</f>
        <v>Blending</v>
      </c>
      <c r="B18" s="56" t="s">
        <v>161</v>
      </c>
      <c r="C18" s="52"/>
      <c r="D18" s="52"/>
      <c r="E18" s="52"/>
      <c r="F18" s="52"/>
      <c r="G18" s="52"/>
      <c r="H18" s="52"/>
      <c r="I18" s="52"/>
      <c r="J18" s="52"/>
      <c r="K18" s="52"/>
      <c r="L18" s="52"/>
      <c r="M18" s="52"/>
      <c r="N18">
        <f>O18-SUM(C18:M18)</f>
        <v>6478</v>
      </c>
      <c r="O18">
        <f>'Prior year summary'!C39</f>
        <v>6478</v>
      </c>
    </row>
    <row r="19" spans="1:15" x14ac:dyDescent="0.25">
      <c r="A19" s="56"/>
      <c r="B19" s="56" t="s">
        <v>162</v>
      </c>
      <c r="C19" s="5">
        <f t="shared" ref="C19:N19" si="4">IF($O18&gt;0,C18/$O18,0)</f>
        <v>0</v>
      </c>
      <c r="D19" s="5">
        <f t="shared" si="4"/>
        <v>0</v>
      </c>
      <c r="E19" s="5">
        <f t="shared" si="4"/>
        <v>0</v>
      </c>
      <c r="F19" s="5">
        <f t="shared" si="4"/>
        <v>0</v>
      </c>
      <c r="G19" s="5">
        <f t="shared" si="4"/>
        <v>0</v>
      </c>
      <c r="H19" s="5">
        <f t="shared" si="4"/>
        <v>0</v>
      </c>
      <c r="I19" s="5">
        <f t="shared" si="4"/>
        <v>0</v>
      </c>
      <c r="J19" s="5">
        <f t="shared" si="4"/>
        <v>0</v>
      </c>
      <c r="K19" s="5">
        <f t="shared" si="4"/>
        <v>0</v>
      </c>
      <c r="L19" s="5">
        <f t="shared" si="4"/>
        <v>0</v>
      </c>
      <c r="M19" s="5">
        <f t="shared" si="4"/>
        <v>0</v>
      </c>
      <c r="N19" s="5">
        <f t="shared" si="4"/>
        <v>1</v>
      </c>
      <c r="O19">
        <f t="shared" si="1"/>
        <v>1</v>
      </c>
    </row>
    <row r="20" spans="1:15" x14ac:dyDescent="0.25">
      <c r="A20" s="56"/>
      <c r="B20" s="56" t="s">
        <v>163</v>
      </c>
      <c r="C20" s="51">
        <v>8.3299999999999999E-2</v>
      </c>
      <c r="D20" s="51">
        <v>8.3299999999999999E-2</v>
      </c>
      <c r="E20" s="51">
        <v>8.3299999999999999E-2</v>
      </c>
      <c r="F20" s="51">
        <v>8.3299999999999999E-2</v>
      </c>
      <c r="G20" s="51">
        <v>8.3299999999999999E-2</v>
      </c>
      <c r="H20" s="51">
        <v>8.3299999999999999E-2</v>
      </c>
      <c r="I20" s="51">
        <v>8.3299999999999999E-2</v>
      </c>
      <c r="J20" s="51">
        <v>8.3299999999999999E-2</v>
      </c>
      <c r="K20" s="51">
        <v>8.3299999999999999E-2</v>
      </c>
      <c r="L20" s="51">
        <v>8.3299999999999999E-2</v>
      </c>
      <c r="M20" s="51">
        <v>8.3299999999999999E-2</v>
      </c>
      <c r="N20" s="7">
        <f>1-SUM(C20:M20)</f>
        <v>8.3699999999999886E-2</v>
      </c>
      <c r="O20">
        <f t="shared" si="1"/>
        <v>1</v>
      </c>
    </row>
    <row r="21" spans="1:15" x14ac:dyDescent="0.25">
      <c r="A21" s="56" t="str">
        <f>'Prior year summary'!A40</f>
        <v>Storage</v>
      </c>
      <c r="B21" s="56" t="s">
        <v>161</v>
      </c>
      <c r="C21" s="52"/>
      <c r="D21" s="52"/>
      <c r="E21" s="52"/>
      <c r="F21" s="52"/>
      <c r="G21" s="52"/>
      <c r="H21" s="52"/>
      <c r="I21" s="52"/>
      <c r="J21" s="52"/>
      <c r="K21" s="52"/>
      <c r="L21" s="52"/>
      <c r="M21" s="52"/>
      <c r="N21">
        <f>O21-SUM(C21:M21)</f>
        <v>900000</v>
      </c>
      <c r="O21">
        <f>'Prior year summary'!C40</f>
        <v>900000</v>
      </c>
    </row>
    <row r="22" spans="1:15" x14ac:dyDescent="0.25">
      <c r="A22" s="56"/>
      <c r="B22" s="56" t="s">
        <v>162</v>
      </c>
      <c r="C22" s="5">
        <f t="shared" ref="C22:N22" si="5">IF($O21&gt;0,C21/$O21,0)</f>
        <v>0</v>
      </c>
      <c r="D22" s="5">
        <f t="shared" si="5"/>
        <v>0</v>
      </c>
      <c r="E22" s="5">
        <f t="shared" si="5"/>
        <v>0</v>
      </c>
      <c r="F22" s="5">
        <f t="shared" si="5"/>
        <v>0</v>
      </c>
      <c r="G22" s="5">
        <f t="shared" si="5"/>
        <v>0</v>
      </c>
      <c r="H22" s="5">
        <f t="shared" si="5"/>
        <v>0</v>
      </c>
      <c r="I22" s="5">
        <f t="shared" si="5"/>
        <v>0</v>
      </c>
      <c r="J22" s="5">
        <f t="shared" si="5"/>
        <v>0</v>
      </c>
      <c r="K22" s="5">
        <f t="shared" si="5"/>
        <v>0</v>
      </c>
      <c r="L22" s="5">
        <f t="shared" si="5"/>
        <v>0</v>
      </c>
      <c r="M22" s="5">
        <f t="shared" si="5"/>
        <v>0</v>
      </c>
      <c r="N22" s="5">
        <f t="shared" si="5"/>
        <v>1</v>
      </c>
      <c r="O22">
        <f t="shared" si="1"/>
        <v>1</v>
      </c>
    </row>
    <row r="23" spans="1:15" x14ac:dyDescent="0.25">
      <c r="A23" s="56"/>
      <c r="B23" s="56" t="s">
        <v>163</v>
      </c>
      <c r="C23" s="51">
        <v>8.3299999999999999E-2</v>
      </c>
      <c r="D23" s="51">
        <v>8.3299999999999999E-2</v>
      </c>
      <c r="E23" s="51">
        <v>8.3299999999999999E-2</v>
      </c>
      <c r="F23" s="51">
        <v>8.3299999999999999E-2</v>
      </c>
      <c r="G23" s="51">
        <v>8.3299999999999999E-2</v>
      </c>
      <c r="H23" s="51">
        <v>8.3299999999999999E-2</v>
      </c>
      <c r="I23" s="51">
        <v>8.3299999999999999E-2</v>
      </c>
      <c r="J23" s="51">
        <v>8.3299999999999999E-2</v>
      </c>
      <c r="K23" s="51">
        <v>8.3299999999999999E-2</v>
      </c>
      <c r="L23" s="51">
        <v>8.3299999999999999E-2</v>
      </c>
      <c r="M23" s="51">
        <v>8.3299999999999999E-2</v>
      </c>
      <c r="N23" s="7">
        <f>1-SUM(C23:M23)</f>
        <v>8.3699999999999886E-2</v>
      </c>
      <c r="O23">
        <f t="shared" si="1"/>
        <v>1</v>
      </c>
    </row>
    <row r="24" spans="1:15" x14ac:dyDescent="0.25">
      <c r="A24" s="56" t="str">
        <f>'Prior year summary'!A41</f>
        <v>Misc</v>
      </c>
      <c r="B24" s="56" t="s">
        <v>161</v>
      </c>
      <c r="C24" s="52"/>
      <c r="D24" s="52"/>
      <c r="E24" s="52"/>
      <c r="F24" s="52"/>
      <c r="G24" s="52"/>
      <c r="H24" s="52"/>
      <c r="I24" s="52"/>
      <c r="J24" s="52"/>
      <c r="K24" s="52"/>
      <c r="L24" s="52"/>
      <c r="M24" s="52"/>
      <c r="N24">
        <f>O24-SUM(C24:M24)</f>
        <v>417528</v>
      </c>
      <c r="O24">
        <f>'Prior year summary'!C41</f>
        <v>417528</v>
      </c>
    </row>
    <row r="25" spans="1:15" x14ac:dyDescent="0.25">
      <c r="A25" s="56"/>
      <c r="B25" s="56" t="s">
        <v>162</v>
      </c>
      <c r="C25" s="5">
        <f t="shared" ref="C25:N25" si="6">IF($O24&gt;0,C24/$O24,0)</f>
        <v>0</v>
      </c>
      <c r="D25" s="5">
        <f t="shared" si="6"/>
        <v>0</v>
      </c>
      <c r="E25" s="5">
        <f t="shared" si="6"/>
        <v>0</v>
      </c>
      <c r="F25" s="5">
        <f t="shared" si="6"/>
        <v>0</v>
      </c>
      <c r="G25" s="5">
        <f t="shared" si="6"/>
        <v>0</v>
      </c>
      <c r="H25" s="5">
        <f t="shared" si="6"/>
        <v>0</v>
      </c>
      <c r="I25" s="5">
        <f t="shared" si="6"/>
        <v>0</v>
      </c>
      <c r="J25" s="5">
        <f t="shared" si="6"/>
        <v>0</v>
      </c>
      <c r="K25" s="5">
        <f t="shared" si="6"/>
        <v>0</v>
      </c>
      <c r="L25" s="5">
        <f t="shared" si="6"/>
        <v>0</v>
      </c>
      <c r="M25" s="5">
        <f t="shared" si="6"/>
        <v>0</v>
      </c>
      <c r="N25" s="5">
        <f t="shared" si="6"/>
        <v>1</v>
      </c>
      <c r="O25">
        <f t="shared" si="1"/>
        <v>1</v>
      </c>
    </row>
    <row r="26" spans="1:15" x14ac:dyDescent="0.25">
      <c r="A26" s="56"/>
      <c r="B26" s="56" t="s">
        <v>163</v>
      </c>
      <c r="C26" s="51">
        <v>8.3299999999999999E-2</v>
      </c>
      <c r="D26" s="51">
        <v>8.3299999999999999E-2</v>
      </c>
      <c r="E26" s="51">
        <v>8.3299999999999999E-2</v>
      </c>
      <c r="F26" s="51">
        <v>8.3299999999999999E-2</v>
      </c>
      <c r="G26" s="51">
        <v>8.3299999999999999E-2</v>
      </c>
      <c r="H26" s="51">
        <v>8.3299999999999999E-2</v>
      </c>
      <c r="I26" s="51">
        <v>8.3299999999999999E-2</v>
      </c>
      <c r="J26" s="51">
        <v>8.3299999999999999E-2</v>
      </c>
      <c r="K26" s="51">
        <v>8.3299999999999999E-2</v>
      </c>
      <c r="L26" s="51">
        <v>8.3299999999999999E-2</v>
      </c>
      <c r="M26" s="51">
        <v>8.3299999999999999E-2</v>
      </c>
      <c r="N26" s="7">
        <f>1-SUM(C26:M26)</f>
        <v>8.3699999999999886E-2</v>
      </c>
      <c r="O26">
        <f t="shared" si="1"/>
        <v>1</v>
      </c>
    </row>
    <row r="27" spans="1:15" x14ac:dyDescent="0.25">
      <c r="A27" s="56" t="str">
        <f>'Prior year summary'!A42</f>
        <v>Discounts</v>
      </c>
      <c r="B27" s="56" t="s">
        <v>161</v>
      </c>
      <c r="C27" s="52"/>
      <c r="D27" s="52"/>
      <c r="E27" s="52"/>
      <c r="F27" s="52"/>
      <c r="G27" s="52"/>
      <c r="H27" s="52"/>
      <c r="I27" s="52"/>
      <c r="J27" s="52"/>
      <c r="K27" s="52"/>
      <c r="L27" s="52"/>
      <c r="M27" s="52"/>
      <c r="N27">
        <f>O27-SUM(C27:M27)</f>
        <v>-92639</v>
      </c>
      <c r="O27">
        <f>'Prior year summary'!C42</f>
        <v>-92639</v>
      </c>
    </row>
    <row r="28" spans="1:15" x14ac:dyDescent="0.25">
      <c r="A28" s="56"/>
      <c r="B28" s="56" t="s">
        <v>162</v>
      </c>
      <c r="C28" s="5">
        <f t="shared" ref="C28:N28" si="7">IF($O27&gt;0,C27/$O27,0)</f>
        <v>0</v>
      </c>
      <c r="D28" s="5">
        <f t="shared" si="7"/>
        <v>0</v>
      </c>
      <c r="E28" s="5">
        <f t="shared" si="7"/>
        <v>0</v>
      </c>
      <c r="F28" s="5">
        <f t="shared" si="7"/>
        <v>0</v>
      </c>
      <c r="G28" s="5">
        <f t="shared" si="7"/>
        <v>0</v>
      </c>
      <c r="H28" s="5">
        <f t="shared" si="7"/>
        <v>0</v>
      </c>
      <c r="I28" s="5">
        <f t="shared" si="7"/>
        <v>0</v>
      </c>
      <c r="J28" s="5">
        <f t="shared" si="7"/>
        <v>0</v>
      </c>
      <c r="K28" s="5">
        <f t="shared" si="7"/>
        <v>0</v>
      </c>
      <c r="L28" s="5">
        <f t="shared" si="7"/>
        <v>0</v>
      </c>
      <c r="M28" s="5">
        <f t="shared" si="7"/>
        <v>0</v>
      </c>
      <c r="N28" s="5">
        <f t="shared" si="7"/>
        <v>0</v>
      </c>
      <c r="O28">
        <f t="shared" si="1"/>
        <v>0</v>
      </c>
    </row>
    <row r="29" spans="1:15" x14ac:dyDescent="0.25">
      <c r="A29" s="56"/>
      <c r="B29" s="56" t="s">
        <v>163</v>
      </c>
      <c r="C29" s="51">
        <v>8.3299999999999999E-2</v>
      </c>
      <c r="D29" s="51">
        <v>8.3299999999999999E-2</v>
      </c>
      <c r="E29" s="51">
        <v>8.3299999999999999E-2</v>
      </c>
      <c r="F29" s="51">
        <v>8.3299999999999999E-2</v>
      </c>
      <c r="G29" s="51">
        <v>8.3299999999999999E-2</v>
      </c>
      <c r="H29" s="51">
        <v>8.3299999999999999E-2</v>
      </c>
      <c r="I29" s="51">
        <v>8.3299999999999999E-2</v>
      </c>
      <c r="J29" s="51">
        <v>8.3299999999999999E-2</v>
      </c>
      <c r="K29" s="51">
        <v>8.3299999999999999E-2</v>
      </c>
      <c r="L29" s="51">
        <v>8.3299999999999999E-2</v>
      </c>
      <c r="M29" s="51">
        <v>8.3299999999999999E-2</v>
      </c>
      <c r="N29" s="7">
        <f>1-SUM(C29:M29)</f>
        <v>8.3699999999999886E-2</v>
      </c>
      <c r="O29">
        <f t="shared" si="1"/>
        <v>1</v>
      </c>
    </row>
    <row r="30" spans="1:15" x14ac:dyDescent="0.25">
      <c r="A30" s="56" t="str">
        <f>'Prior year summary'!A43</f>
        <v>Delivery</v>
      </c>
      <c r="B30" s="56" t="s">
        <v>161</v>
      </c>
      <c r="C30" s="52"/>
      <c r="D30" s="52"/>
      <c r="E30" s="52"/>
      <c r="F30" s="52"/>
      <c r="G30" s="52"/>
      <c r="H30" s="52"/>
      <c r="I30" s="52"/>
      <c r="J30" s="52"/>
      <c r="K30" s="52"/>
      <c r="L30" s="52"/>
      <c r="M30" s="52"/>
      <c r="N30">
        <f>O30-SUM(C30:M30)</f>
        <v>8952</v>
      </c>
      <c r="O30">
        <f>'Prior year summary'!C43</f>
        <v>8952</v>
      </c>
    </row>
    <row r="31" spans="1:15" x14ac:dyDescent="0.25">
      <c r="A31" s="56"/>
      <c r="B31" s="56" t="s">
        <v>162</v>
      </c>
      <c r="C31" s="5">
        <f t="shared" ref="C31:N31" si="8">IF($O30&gt;0,C30/$O30,0)</f>
        <v>0</v>
      </c>
      <c r="D31" s="5">
        <f t="shared" si="8"/>
        <v>0</v>
      </c>
      <c r="E31" s="5">
        <f t="shared" si="8"/>
        <v>0</v>
      </c>
      <c r="F31" s="5">
        <f t="shared" si="8"/>
        <v>0</v>
      </c>
      <c r="G31" s="5">
        <f t="shared" si="8"/>
        <v>0</v>
      </c>
      <c r="H31" s="5">
        <f t="shared" si="8"/>
        <v>0</v>
      </c>
      <c r="I31" s="5">
        <f t="shared" si="8"/>
        <v>0</v>
      </c>
      <c r="J31" s="5">
        <f t="shared" si="8"/>
        <v>0</v>
      </c>
      <c r="K31" s="5">
        <f t="shared" si="8"/>
        <v>0</v>
      </c>
      <c r="L31" s="5">
        <f t="shared" si="8"/>
        <v>0</v>
      </c>
      <c r="M31" s="5">
        <f t="shared" si="8"/>
        <v>0</v>
      </c>
      <c r="N31" s="5">
        <f t="shared" si="8"/>
        <v>1</v>
      </c>
      <c r="O31">
        <f t="shared" si="1"/>
        <v>1</v>
      </c>
    </row>
    <row r="32" spans="1:15" x14ac:dyDescent="0.25">
      <c r="A32" s="56"/>
      <c r="B32" s="56" t="s">
        <v>163</v>
      </c>
      <c r="C32" s="51">
        <v>8.3299999999999999E-2</v>
      </c>
      <c r="D32" s="51">
        <v>8.3299999999999999E-2</v>
      </c>
      <c r="E32" s="51">
        <v>8.3299999999999999E-2</v>
      </c>
      <c r="F32" s="51">
        <v>8.3299999999999999E-2</v>
      </c>
      <c r="G32" s="51">
        <v>8.3299999999999999E-2</v>
      </c>
      <c r="H32" s="51">
        <v>8.3299999999999999E-2</v>
      </c>
      <c r="I32" s="51">
        <v>8.3299999999999999E-2</v>
      </c>
      <c r="J32" s="51">
        <v>8.3299999999999999E-2</v>
      </c>
      <c r="K32" s="51">
        <v>8.3299999999999999E-2</v>
      </c>
      <c r="L32" s="51">
        <v>8.3299999999999999E-2</v>
      </c>
      <c r="M32" s="51">
        <v>8.3299999999999999E-2</v>
      </c>
      <c r="N32" s="7">
        <f>1-SUM(C32:M32)</f>
        <v>8.3699999999999886E-2</v>
      </c>
      <c r="O32">
        <f t="shared" si="1"/>
        <v>1</v>
      </c>
    </row>
    <row r="33" spans="1:15" x14ac:dyDescent="0.25">
      <c r="A33" s="56" t="str">
        <f>'Prior year summary'!A44</f>
        <v>Milling</v>
      </c>
      <c r="B33" s="56" t="s">
        <v>161</v>
      </c>
      <c r="C33" s="52"/>
      <c r="D33" s="52"/>
      <c r="E33" s="52"/>
      <c r="F33" s="52"/>
      <c r="G33" s="52"/>
      <c r="H33" s="52"/>
      <c r="I33" s="52"/>
      <c r="J33" s="52"/>
      <c r="K33" s="52"/>
      <c r="L33" s="52"/>
      <c r="M33" s="52"/>
      <c r="N33">
        <f>O33-SUM(C33:M33)</f>
        <v>28579</v>
      </c>
      <c r="O33">
        <f>'Prior year summary'!C44</f>
        <v>28579</v>
      </c>
    </row>
    <row r="34" spans="1:15" x14ac:dyDescent="0.25">
      <c r="A34" s="56"/>
      <c r="B34" s="56" t="s">
        <v>162</v>
      </c>
      <c r="C34" s="5">
        <f t="shared" ref="C34:N34" si="9">IF($O33&gt;0,C33/$O33,0)</f>
        <v>0</v>
      </c>
      <c r="D34" s="5">
        <f t="shared" si="9"/>
        <v>0</v>
      </c>
      <c r="E34" s="5">
        <f t="shared" si="9"/>
        <v>0</v>
      </c>
      <c r="F34" s="5">
        <f t="shared" si="9"/>
        <v>0</v>
      </c>
      <c r="G34" s="5">
        <f t="shared" si="9"/>
        <v>0</v>
      </c>
      <c r="H34" s="5">
        <f t="shared" si="9"/>
        <v>0</v>
      </c>
      <c r="I34" s="5">
        <f t="shared" si="9"/>
        <v>0</v>
      </c>
      <c r="J34" s="5">
        <f t="shared" si="9"/>
        <v>0</v>
      </c>
      <c r="K34" s="5">
        <f t="shared" si="9"/>
        <v>0</v>
      </c>
      <c r="L34" s="5">
        <f t="shared" si="9"/>
        <v>0</v>
      </c>
      <c r="M34" s="5">
        <f t="shared" si="9"/>
        <v>0</v>
      </c>
      <c r="N34" s="5">
        <f t="shared" si="9"/>
        <v>1</v>
      </c>
      <c r="O34">
        <f t="shared" si="1"/>
        <v>1</v>
      </c>
    </row>
    <row r="35" spans="1:15" x14ac:dyDescent="0.25">
      <c r="A35" s="56"/>
      <c r="B35" s="56" t="s">
        <v>163</v>
      </c>
      <c r="C35" s="51">
        <v>8.3299999999999999E-2</v>
      </c>
      <c r="D35" s="51">
        <v>8.3299999999999999E-2</v>
      </c>
      <c r="E35" s="51">
        <v>8.3299999999999999E-2</v>
      </c>
      <c r="F35" s="51">
        <v>8.3299999999999999E-2</v>
      </c>
      <c r="G35" s="51">
        <v>8.3299999999999999E-2</v>
      </c>
      <c r="H35" s="51">
        <v>8.3299999999999999E-2</v>
      </c>
      <c r="I35" s="51">
        <v>8.3299999999999999E-2</v>
      </c>
      <c r="J35" s="51">
        <v>8.3299999999999999E-2</v>
      </c>
      <c r="K35" s="51">
        <v>8.3299999999999999E-2</v>
      </c>
      <c r="L35" s="51">
        <v>8.3299999999999999E-2</v>
      </c>
      <c r="M35" s="51">
        <v>8.3299999999999999E-2</v>
      </c>
      <c r="N35" s="7">
        <f>1-SUM(C35:M35)</f>
        <v>8.3699999999999886E-2</v>
      </c>
      <c r="O35">
        <f t="shared" si="1"/>
        <v>1</v>
      </c>
    </row>
    <row r="36" spans="1:15" x14ac:dyDescent="0.25">
      <c r="A36" s="56" t="str">
        <f>'Prior year summary'!A45</f>
        <v>Handling</v>
      </c>
      <c r="B36" s="56" t="s">
        <v>161</v>
      </c>
      <c r="C36" s="52"/>
      <c r="D36" s="52"/>
      <c r="E36" s="52"/>
      <c r="F36" s="52"/>
      <c r="G36" s="52"/>
      <c r="H36" s="52"/>
      <c r="I36" s="52"/>
      <c r="J36" s="52"/>
      <c r="K36" s="52"/>
      <c r="L36" s="52"/>
      <c r="M36" s="52"/>
      <c r="N36">
        <f>O36-SUM(C36:M36)</f>
        <v>1292</v>
      </c>
      <c r="O36">
        <f>'Prior year summary'!C45</f>
        <v>1292</v>
      </c>
    </row>
    <row r="37" spans="1:15" x14ac:dyDescent="0.25">
      <c r="A37" s="56"/>
      <c r="B37" s="56" t="s">
        <v>162</v>
      </c>
      <c r="C37" s="5">
        <f t="shared" ref="C37:N37" si="10">IF($O36&gt;0,C36/$O36,0)</f>
        <v>0</v>
      </c>
      <c r="D37" s="5">
        <f t="shared" si="10"/>
        <v>0</v>
      </c>
      <c r="E37" s="5">
        <f t="shared" si="10"/>
        <v>0</v>
      </c>
      <c r="F37" s="5">
        <f t="shared" si="10"/>
        <v>0</v>
      </c>
      <c r="G37" s="5">
        <f t="shared" si="10"/>
        <v>0</v>
      </c>
      <c r="H37" s="5">
        <f t="shared" si="10"/>
        <v>0</v>
      </c>
      <c r="I37" s="5">
        <f t="shared" si="10"/>
        <v>0</v>
      </c>
      <c r="J37" s="5">
        <f t="shared" si="10"/>
        <v>0</v>
      </c>
      <c r="K37" s="5">
        <f t="shared" si="10"/>
        <v>0</v>
      </c>
      <c r="L37" s="5">
        <f t="shared" si="10"/>
        <v>0</v>
      </c>
      <c r="M37" s="5">
        <f t="shared" si="10"/>
        <v>0</v>
      </c>
      <c r="N37" s="5">
        <f t="shared" si="10"/>
        <v>1</v>
      </c>
      <c r="O37">
        <f t="shared" si="1"/>
        <v>1</v>
      </c>
    </row>
    <row r="38" spans="1:15" x14ac:dyDescent="0.25">
      <c r="A38" s="56"/>
      <c r="B38" s="56" t="s">
        <v>163</v>
      </c>
      <c r="C38" s="51">
        <v>8.3299999999999999E-2</v>
      </c>
      <c r="D38" s="51">
        <v>8.3299999999999999E-2</v>
      </c>
      <c r="E38" s="51">
        <v>8.3299999999999999E-2</v>
      </c>
      <c r="F38" s="51">
        <v>8.3299999999999999E-2</v>
      </c>
      <c r="G38" s="51">
        <v>8.3299999999999999E-2</v>
      </c>
      <c r="H38" s="51">
        <v>8.3299999999999999E-2</v>
      </c>
      <c r="I38" s="51">
        <v>8.3299999999999999E-2</v>
      </c>
      <c r="J38" s="51">
        <v>8.3299999999999999E-2</v>
      </c>
      <c r="K38" s="51">
        <v>8.3299999999999999E-2</v>
      </c>
      <c r="L38" s="51">
        <v>8.3299999999999999E-2</v>
      </c>
      <c r="M38" s="51">
        <v>8.3299999999999999E-2</v>
      </c>
      <c r="N38" s="7">
        <f>1-SUM(C38:M38)</f>
        <v>8.3699999999999886E-2</v>
      </c>
      <c r="O38">
        <f t="shared" si="1"/>
        <v>1</v>
      </c>
    </row>
    <row r="39" spans="1:15" x14ac:dyDescent="0.25">
      <c r="A39" s="56" t="str">
        <f>'Prior year summary'!A46</f>
        <v>Equip Rent</v>
      </c>
      <c r="B39" s="56" t="s">
        <v>161</v>
      </c>
      <c r="C39" s="52"/>
      <c r="D39" s="52"/>
      <c r="E39" s="52"/>
      <c r="F39" s="52"/>
      <c r="G39" s="52"/>
      <c r="H39" s="52"/>
      <c r="I39" s="52"/>
      <c r="J39" s="52"/>
      <c r="K39" s="52"/>
      <c r="L39" s="52"/>
      <c r="M39" s="52"/>
      <c r="N39">
        <f>O39-SUM(C39:M39)</f>
        <v>104228</v>
      </c>
      <c r="O39">
        <f>'Prior year summary'!C46</f>
        <v>104228</v>
      </c>
    </row>
    <row r="40" spans="1:15" x14ac:dyDescent="0.25">
      <c r="A40" s="56"/>
      <c r="B40" s="56" t="s">
        <v>162</v>
      </c>
      <c r="C40" s="5">
        <f t="shared" ref="C40:N40" si="11">IF($O39&gt;0,C39/$O39,0)</f>
        <v>0</v>
      </c>
      <c r="D40" s="5">
        <f t="shared" si="11"/>
        <v>0</v>
      </c>
      <c r="E40" s="5">
        <f t="shared" si="11"/>
        <v>0</v>
      </c>
      <c r="F40" s="5">
        <f t="shared" si="11"/>
        <v>0</v>
      </c>
      <c r="G40" s="5">
        <f t="shared" si="11"/>
        <v>0</v>
      </c>
      <c r="H40" s="5">
        <f t="shared" si="11"/>
        <v>0</v>
      </c>
      <c r="I40" s="5">
        <f t="shared" si="11"/>
        <v>0</v>
      </c>
      <c r="J40" s="5">
        <f t="shared" si="11"/>
        <v>0</v>
      </c>
      <c r="K40" s="5">
        <f t="shared" si="11"/>
        <v>0</v>
      </c>
      <c r="L40" s="5">
        <f t="shared" si="11"/>
        <v>0</v>
      </c>
      <c r="M40" s="5">
        <f t="shared" si="11"/>
        <v>0</v>
      </c>
      <c r="N40" s="5">
        <f t="shared" si="11"/>
        <v>1</v>
      </c>
      <c r="O40">
        <f t="shared" si="1"/>
        <v>1</v>
      </c>
    </row>
    <row r="41" spans="1:15" x14ac:dyDescent="0.25">
      <c r="A41" s="56"/>
      <c r="B41" s="56" t="s">
        <v>163</v>
      </c>
      <c r="C41" s="51">
        <v>8.3299999999999999E-2</v>
      </c>
      <c r="D41" s="51">
        <v>8.3299999999999999E-2</v>
      </c>
      <c r="E41" s="51">
        <v>8.3299999999999999E-2</v>
      </c>
      <c r="F41" s="51">
        <v>8.3299999999999999E-2</v>
      </c>
      <c r="G41" s="51">
        <v>8.3299999999999999E-2</v>
      </c>
      <c r="H41" s="51">
        <v>8.3299999999999999E-2</v>
      </c>
      <c r="I41" s="51">
        <v>8.3299999999999999E-2</v>
      </c>
      <c r="J41" s="51">
        <v>8.3299999999999999E-2</v>
      </c>
      <c r="K41" s="51">
        <v>8.3299999999999999E-2</v>
      </c>
      <c r="L41" s="51">
        <v>8.3299999999999999E-2</v>
      </c>
      <c r="M41" s="51">
        <v>8.3299999999999999E-2</v>
      </c>
      <c r="N41" s="7">
        <f>1-SUM(C41:M41)</f>
        <v>8.3699999999999886E-2</v>
      </c>
      <c r="O41">
        <f t="shared" si="1"/>
        <v>1</v>
      </c>
    </row>
    <row r="42" spans="1:15" x14ac:dyDescent="0.25">
      <c r="A42" s="56" t="str">
        <f>'Prior year summary'!A47</f>
        <v>Interest</v>
      </c>
      <c r="B42" s="56" t="s">
        <v>161</v>
      </c>
      <c r="C42" s="52"/>
      <c r="D42" s="52"/>
      <c r="E42" s="52"/>
      <c r="F42" s="52"/>
      <c r="G42" s="52"/>
      <c r="H42" s="52"/>
      <c r="I42" s="52"/>
      <c r="J42" s="52"/>
      <c r="K42" s="52"/>
      <c r="L42" s="52"/>
      <c r="M42" s="52"/>
      <c r="N42">
        <f>O42-SUM(C42:M42)</f>
        <v>48246</v>
      </c>
      <c r="O42">
        <f>'Prior year summary'!C47</f>
        <v>48246</v>
      </c>
    </row>
    <row r="43" spans="1:15" x14ac:dyDescent="0.25">
      <c r="A43" s="56"/>
      <c r="B43" s="56" t="s">
        <v>162</v>
      </c>
      <c r="C43" s="5">
        <f t="shared" ref="C43:N43" si="12">IF($O42&gt;0,C42/$O42,0)</f>
        <v>0</v>
      </c>
      <c r="D43" s="5">
        <f t="shared" si="12"/>
        <v>0</v>
      </c>
      <c r="E43" s="5">
        <f t="shared" si="12"/>
        <v>0</v>
      </c>
      <c r="F43" s="5">
        <f t="shared" si="12"/>
        <v>0</v>
      </c>
      <c r="G43" s="5">
        <f t="shared" si="12"/>
        <v>0</v>
      </c>
      <c r="H43" s="5">
        <f t="shared" si="12"/>
        <v>0</v>
      </c>
      <c r="I43" s="5">
        <f t="shared" si="12"/>
        <v>0</v>
      </c>
      <c r="J43" s="5">
        <f t="shared" si="12"/>
        <v>0</v>
      </c>
      <c r="K43" s="5">
        <f t="shared" si="12"/>
        <v>0</v>
      </c>
      <c r="L43" s="5">
        <f t="shared" si="12"/>
        <v>0</v>
      </c>
      <c r="M43" s="5">
        <f t="shared" si="12"/>
        <v>0</v>
      </c>
      <c r="N43" s="5">
        <f t="shared" si="12"/>
        <v>1</v>
      </c>
      <c r="O43">
        <f t="shared" si="1"/>
        <v>1</v>
      </c>
    </row>
    <row r="44" spans="1:15" x14ac:dyDescent="0.25">
      <c r="A44" s="56"/>
      <c r="B44" s="56" t="s">
        <v>163</v>
      </c>
      <c r="C44" s="51">
        <v>8.3299999999999999E-2</v>
      </c>
      <c r="D44" s="51">
        <v>8.3299999999999999E-2</v>
      </c>
      <c r="E44" s="51">
        <v>8.3299999999999999E-2</v>
      </c>
      <c r="F44" s="51">
        <v>8.3299999999999999E-2</v>
      </c>
      <c r="G44" s="51">
        <v>8.3299999999999999E-2</v>
      </c>
      <c r="H44" s="51">
        <v>8.3299999999999999E-2</v>
      </c>
      <c r="I44" s="51">
        <v>8.3299999999999999E-2</v>
      </c>
      <c r="J44" s="51">
        <v>8.3299999999999999E-2</v>
      </c>
      <c r="K44" s="51">
        <v>8.3299999999999999E-2</v>
      </c>
      <c r="L44" s="51">
        <v>8.3299999999999999E-2</v>
      </c>
      <c r="M44" s="51">
        <v>8.3299999999999999E-2</v>
      </c>
      <c r="N44" s="7">
        <f>1-SUM(C44:M44)</f>
        <v>8.3699999999999886E-2</v>
      </c>
      <c r="O44">
        <f t="shared" si="1"/>
        <v>1</v>
      </c>
    </row>
    <row r="45" spans="1:15" x14ac:dyDescent="0.25">
      <c r="A45" s="56" t="str">
        <f>'Prior year summary'!A48</f>
        <v>Life ins value</v>
      </c>
      <c r="B45" s="56" t="s">
        <v>161</v>
      </c>
      <c r="C45" s="52"/>
      <c r="D45" s="52"/>
      <c r="E45" s="52"/>
      <c r="F45" s="52"/>
      <c r="G45" s="52"/>
      <c r="H45" s="52"/>
      <c r="I45" s="52"/>
      <c r="J45" s="52"/>
      <c r="K45" s="52"/>
      <c r="L45" s="52"/>
      <c r="M45" s="52"/>
      <c r="N45">
        <f>O45-SUM(C45:M45)</f>
        <v>27994</v>
      </c>
      <c r="O45">
        <f>'Prior year summary'!C48</f>
        <v>27994</v>
      </c>
    </row>
    <row r="46" spans="1:15" x14ac:dyDescent="0.25">
      <c r="A46" s="56"/>
      <c r="B46" s="56" t="s">
        <v>162</v>
      </c>
      <c r="C46" s="5">
        <f t="shared" ref="C46:N46" si="13">IF($O45&gt;0,C45/$O45,0)</f>
        <v>0</v>
      </c>
      <c r="D46" s="5">
        <f t="shared" si="13"/>
        <v>0</v>
      </c>
      <c r="E46" s="5">
        <f t="shared" si="13"/>
        <v>0</v>
      </c>
      <c r="F46" s="5">
        <f t="shared" si="13"/>
        <v>0</v>
      </c>
      <c r="G46" s="5">
        <f t="shared" si="13"/>
        <v>0</v>
      </c>
      <c r="H46" s="5">
        <f t="shared" si="13"/>
        <v>0</v>
      </c>
      <c r="I46" s="5">
        <f t="shared" si="13"/>
        <v>0</v>
      </c>
      <c r="J46" s="5">
        <f t="shared" si="13"/>
        <v>0</v>
      </c>
      <c r="K46" s="5">
        <f t="shared" si="13"/>
        <v>0</v>
      </c>
      <c r="L46" s="5">
        <f t="shared" si="13"/>
        <v>0</v>
      </c>
      <c r="M46" s="5">
        <f t="shared" si="13"/>
        <v>0</v>
      </c>
      <c r="N46" s="5">
        <f t="shared" si="13"/>
        <v>1</v>
      </c>
      <c r="O46">
        <f t="shared" si="1"/>
        <v>1</v>
      </c>
    </row>
    <row r="47" spans="1:15" x14ac:dyDescent="0.25">
      <c r="A47" s="56"/>
      <c r="B47" s="56" t="s">
        <v>163</v>
      </c>
      <c r="C47" s="51">
        <v>8.3299999999999999E-2</v>
      </c>
      <c r="D47" s="51">
        <v>8.3299999999999999E-2</v>
      </c>
      <c r="E47" s="51">
        <v>8.3299999999999999E-2</v>
      </c>
      <c r="F47" s="51">
        <v>8.3299999999999999E-2</v>
      </c>
      <c r="G47" s="51">
        <v>8.3299999999999999E-2</v>
      </c>
      <c r="H47" s="51">
        <v>8.3299999999999999E-2</v>
      </c>
      <c r="I47" s="51">
        <v>8.3299999999999999E-2</v>
      </c>
      <c r="J47" s="51">
        <v>8.3299999999999999E-2</v>
      </c>
      <c r="K47" s="51">
        <v>8.3299999999999999E-2</v>
      </c>
      <c r="L47" s="51">
        <v>8.3299999999999999E-2</v>
      </c>
      <c r="M47" s="51">
        <v>8.3299999999999999E-2</v>
      </c>
      <c r="N47" s="7">
        <f>1-SUM(C47:M47)</f>
        <v>8.3699999999999886E-2</v>
      </c>
      <c r="O47">
        <f t="shared" si="1"/>
        <v>1</v>
      </c>
    </row>
    <row r="48" spans="1:15" x14ac:dyDescent="0.25">
      <c r="A48" s="56" t="str">
        <f>'Prior year summary'!A49</f>
        <v>Application</v>
      </c>
      <c r="B48" s="56" t="s">
        <v>161</v>
      </c>
      <c r="C48" s="52"/>
      <c r="D48" s="52"/>
      <c r="E48" s="52"/>
      <c r="F48" s="52"/>
      <c r="G48" s="52"/>
      <c r="H48" s="52"/>
      <c r="I48" s="52"/>
      <c r="J48" s="52"/>
      <c r="K48" s="52"/>
      <c r="L48" s="52"/>
      <c r="M48" s="52"/>
      <c r="N48">
        <f>O48-SUM(C48:M48)</f>
        <v>1128741</v>
      </c>
      <c r="O48">
        <f>'Prior year summary'!C49</f>
        <v>1128741</v>
      </c>
    </row>
    <row r="49" spans="1:15" x14ac:dyDescent="0.25">
      <c r="A49" s="56"/>
      <c r="B49" s="56" t="s">
        <v>162</v>
      </c>
      <c r="C49" s="5">
        <f t="shared" ref="C49:N49" si="14">IF($O48&gt;0,C48/$O48,0)</f>
        <v>0</v>
      </c>
      <c r="D49" s="5">
        <f t="shared" si="14"/>
        <v>0</v>
      </c>
      <c r="E49" s="5">
        <f t="shared" si="14"/>
        <v>0</v>
      </c>
      <c r="F49" s="5">
        <f t="shared" si="14"/>
        <v>0</v>
      </c>
      <c r="G49" s="5">
        <f t="shared" si="14"/>
        <v>0</v>
      </c>
      <c r="H49" s="5">
        <f t="shared" si="14"/>
        <v>0</v>
      </c>
      <c r="I49" s="5">
        <f t="shared" si="14"/>
        <v>0</v>
      </c>
      <c r="J49" s="5">
        <f t="shared" si="14"/>
        <v>0</v>
      </c>
      <c r="K49" s="5">
        <f t="shared" si="14"/>
        <v>0</v>
      </c>
      <c r="L49" s="5">
        <f t="shared" si="14"/>
        <v>0</v>
      </c>
      <c r="M49" s="5">
        <f t="shared" si="14"/>
        <v>0</v>
      </c>
      <c r="N49" s="5">
        <f t="shared" si="14"/>
        <v>1</v>
      </c>
      <c r="O49">
        <f t="shared" si="1"/>
        <v>1</v>
      </c>
    </row>
    <row r="50" spans="1:15" x14ac:dyDescent="0.25">
      <c r="A50" s="56"/>
      <c r="B50" s="56" t="s">
        <v>163</v>
      </c>
      <c r="C50" s="51">
        <v>8.3299999999999999E-2</v>
      </c>
      <c r="D50" s="51">
        <v>8.3299999999999999E-2</v>
      </c>
      <c r="E50" s="51">
        <v>8.3299999999999999E-2</v>
      </c>
      <c r="F50" s="51">
        <v>8.3299999999999999E-2</v>
      </c>
      <c r="G50" s="51">
        <v>8.3299999999999999E-2</v>
      </c>
      <c r="H50" s="51">
        <v>8.3299999999999999E-2</v>
      </c>
      <c r="I50" s="51">
        <v>8.3299999999999999E-2</v>
      </c>
      <c r="J50" s="51">
        <v>8.3299999999999999E-2</v>
      </c>
      <c r="K50" s="51">
        <v>8.3299999999999999E-2</v>
      </c>
      <c r="L50" s="51">
        <v>8.3299999999999999E-2</v>
      </c>
      <c r="M50" s="51">
        <v>8.3299999999999999E-2</v>
      </c>
      <c r="N50" s="7">
        <f>1-SUM(C50:M50)</f>
        <v>8.3699999999999886E-2</v>
      </c>
      <c r="O50">
        <f t="shared" si="1"/>
        <v>1</v>
      </c>
    </row>
    <row r="51" spans="1:15" x14ac:dyDescent="0.25">
      <c r="A51" s="56" t="str">
        <f>'Prior year summary'!A50</f>
        <v>Asset sales</v>
      </c>
      <c r="B51" s="56" t="s">
        <v>161</v>
      </c>
      <c r="C51" s="52"/>
      <c r="D51" s="52"/>
      <c r="E51" s="52"/>
      <c r="F51" s="52"/>
      <c r="G51" s="52"/>
      <c r="H51" s="52"/>
      <c r="I51" s="52"/>
      <c r="J51" s="52"/>
      <c r="K51" s="52"/>
      <c r="L51" s="52"/>
      <c r="M51" s="52"/>
      <c r="N51">
        <f>O51-SUM(C51:M51)</f>
        <v>40173</v>
      </c>
      <c r="O51">
        <f>'Prior year summary'!C50</f>
        <v>40173</v>
      </c>
    </row>
    <row r="52" spans="1:15" x14ac:dyDescent="0.25">
      <c r="A52" s="56"/>
      <c r="B52" s="56" t="s">
        <v>162</v>
      </c>
      <c r="C52" s="5">
        <f t="shared" ref="C52:N52" si="15">IF($O51&gt;0,C51/$O51,0)</f>
        <v>0</v>
      </c>
      <c r="D52" s="5">
        <f t="shared" si="15"/>
        <v>0</v>
      </c>
      <c r="E52" s="5">
        <f t="shared" si="15"/>
        <v>0</v>
      </c>
      <c r="F52" s="5">
        <f t="shared" si="15"/>
        <v>0</v>
      </c>
      <c r="G52" s="5">
        <f t="shared" si="15"/>
        <v>0</v>
      </c>
      <c r="H52" s="5">
        <f t="shared" si="15"/>
        <v>0</v>
      </c>
      <c r="I52" s="5">
        <f t="shared" si="15"/>
        <v>0</v>
      </c>
      <c r="J52" s="5">
        <f t="shared" si="15"/>
        <v>0</v>
      </c>
      <c r="K52" s="5">
        <f t="shared" si="15"/>
        <v>0</v>
      </c>
      <c r="L52" s="5">
        <f t="shared" si="15"/>
        <v>0</v>
      </c>
      <c r="M52" s="5">
        <f t="shared" si="15"/>
        <v>0</v>
      </c>
      <c r="N52" s="5">
        <f t="shared" si="15"/>
        <v>1</v>
      </c>
      <c r="O52">
        <f t="shared" si="1"/>
        <v>1</v>
      </c>
    </row>
    <row r="53" spans="1:15" x14ac:dyDescent="0.25">
      <c r="A53" s="56"/>
      <c r="B53" s="56" t="s">
        <v>163</v>
      </c>
      <c r="C53" s="51">
        <v>8.3299999999999999E-2</v>
      </c>
      <c r="D53" s="51">
        <v>8.3299999999999999E-2</v>
      </c>
      <c r="E53" s="51">
        <v>8.3299999999999999E-2</v>
      </c>
      <c r="F53" s="51">
        <v>8.3299999999999999E-2</v>
      </c>
      <c r="G53" s="51">
        <v>8.3299999999999999E-2</v>
      </c>
      <c r="H53" s="51">
        <v>8.3299999999999999E-2</v>
      </c>
      <c r="I53" s="51">
        <v>8.3299999999999999E-2</v>
      </c>
      <c r="J53" s="51">
        <v>8.3299999999999999E-2</v>
      </c>
      <c r="K53" s="51">
        <v>8.3299999999999999E-2</v>
      </c>
      <c r="L53" s="51">
        <v>8.3299999999999999E-2</v>
      </c>
      <c r="M53" s="51">
        <v>8.3299999999999999E-2</v>
      </c>
      <c r="N53" s="7">
        <f>1-SUM(C53:M53)</f>
        <v>8.3699999999999886E-2</v>
      </c>
      <c r="O53">
        <f t="shared" si="1"/>
        <v>1</v>
      </c>
    </row>
    <row r="54" spans="1:15" x14ac:dyDescent="0.25">
      <c r="A54" s="56" t="str">
        <f>'Prior year summary'!A51</f>
        <v>LLC</v>
      </c>
      <c r="B54" s="56" t="s">
        <v>161</v>
      </c>
      <c r="C54" s="52"/>
      <c r="D54" s="52"/>
      <c r="E54" s="52"/>
      <c r="F54" s="52"/>
      <c r="G54" s="52"/>
      <c r="H54" s="52"/>
      <c r="I54" s="52"/>
      <c r="J54" s="52"/>
      <c r="K54" s="52"/>
      <c r="L54" s="52"/>
      <c r="M54" s="52"/>
      <c r="N54">
        <f>O54-SUM(C54:M54)</f>
        <v>810121</v>
      </c>
      <c r="O54">
        <f>'Prior year summary'!C51</f>
        <v>810121</v>
      </c>
    </row>
    <row r="55" spans="1:15" x14ac:dyDescent="0.25">
      <c r="A55" s="56"/>
      <c r="B55" s="56" t="s">
        <v>162</v>
      </c>
      <c r="C55" s="5">
        <f>IF($O54&gt;0,C54/$O54,0)</f>
        <v>0</v>
      </c>
      <c r="D55" s="5">
        <f t="shared" ref="D55:N55" si="16">IF($O54&gt;0,D54/$O54,0)</f>
        <v>0</v>
      </c>
      <c r="E55" s="5">
        <f t="shared" si="16"/>
        <v>0</v>
      </c>
      <c r="F55" s="5">
        <f t="shared" si="16"/>
        <v>0</v>
      </c>
      <c r="G55" s="5">
        <f t="shared" si="16"/>
        <v>0</v>
      </c>
      <c r="H55" s="5">
        <f t="shared" si="16"/>
        <v>0</v>
      </c>
      <c r="I55" s="5">
        <f t="shared" si="16"/>
        <v>0</v>
      </c>
      <c r="J55" s="5">
        <f t="shared" si="16"/>
        <v>0</v>
      </c>
      <c r="K55" s="5">
        <f t="shared" si="16"/>
        <v>0</v>
      </c>
      <c r="L55" s="5">
        <f t="shared" si="16"/>
        <v>0</v>
      </c>
      <c r="M55" s="5">
        <f t="shared" si="16"/>
        <v>0</v>
      </c>
      <c r="N55" s="5">
        <f t="shared" si="16"/>
        <v>1</v>
      </c>
      <c r="O55">
        <f t="shared" si="1"/>
        <v>1</v>
      </c>
    </row>
    <row r="56" spans="1:15" x14ac:dyDescent="0.25">
      <c r="A56" s="56"/>
      <c r="B56" s="56" t="s">
        <v>163</v>
      </c>
      <c r="C56" s="51">
        <v>8.3299999999999999E-2</v>
      </c>
      <c r="D56" s="51">
        <v>8.3299999999999999E-2</v>
      </c>
      <c r="E56" s="51">
        <v>8.3299999999999999E-2</v>
      </c>
      <c r="F56" s="51">
        <v>8.3299999999999999E-2</v>
      </c>
      <c r="G56" s="51">
        <v>8.3299999999999999E-2</v>
      </c>
      <c r="H56" s="51">
        <v>8.3299999999999999E-2</v>
      </c>
      <c r="I56" s="51">
        <v>8.3299999999999999E-2</v>
      </c>
      <c r="J56" s="51">
        <v>8.3299999999999999E-2</v>
      </c>
      <c r="K56" s="51">
        <v>8.3299999999999999E-2</v>
      </c>
      <c r="L56" s="51">
        <v>8.3299999999999999E-2</v>
      </c>
      <c r="M56" s="51">
        <v>8.3299999999999999E-2</v>
      </c>
      <c r="N56" s="7">
        <f>1-SUM(C56:M56)</f>
        <v>8.3699999999999886E-2</v>
      </c>
      <c r="O56">
        <f t="shared" si="1"/>
        <v>1</v>
      </c>
    </row>
    <row r="57" spans="1:15" x14ac:dyDescent="0.25">
      <c r="A57" s="56" t="str">
        <f>'Prior year summary'!A52</f>
        <v>EMA grain</v>
      </c>
      <c r="B57" s="56" t="s">
        <v>161</v>
      </c>
      <c r="C57" s="52"/>
      <c r="D57" s="52"/>
      <c r="E57" s="52"/>
      <c r="F57" s="52"/>
      <c r="G57" s="52"/>
      <c r="H57" s="52"/>
      <c r="I57" s="52"/>
      <c r="J57" s="52"/>
      <c r="K57" s="52"/>
      <c r="L57" s="52"/>
      <c r="M57" s="52"/>
      <c r="N57">
        <f>O57-SUM(C57:M57)</f>
        <v>0</v>
      </c>
      <c r="O57">
        <f>'Prior year summary'!C52</f>
        <v>0</v>
      </c>
    </row>
    <row r="58" spans="1:15" x14ac:dyDescent="0.25">
      <c r="A58" s="56"/>
      <c r="B58" s="56" t="s">
        <v>162</v>
      </c>
      <c r="C58" s="5">
        <f t="shared" ref="C58:N58" si="17">IF($O57&gt;0,C57/$O57,0)</f>
        <v>0</v>
      </c>
      <c r="D58" s="5">
        <f t="shared" si="17"/>
        <v>0</v>
      </c>
      <c r="E58" s="5">
        <f t="shared" si="17"/>
        <v>0</v>
      </c>
      <c r="F58" s="5">
        <f t="shared" si="17"/>
        <v>0</v>
      </c>
      <c r="G58" s="5">
        <f t="shared" si="17"/>
        <v>0</v>
      </c>
      <c r="H58" s="5">
        <f t="shared" si="17"/>
        <v>0</v>
      </c>
      <c r="I58" s="5">
        <f t="shared" si="17"/>
        <v>0</v>
      </c>
      <c r="J58" s="5">
        <f t="shared" si="17"/>
        <v>0</v>
      </c>
      <c r="K58" s="5">
        <f t="shared" si="17"/>
        <v>0</v>
      </c>
      <c r="L58" s="5">
        <f t="shared" si="17"/>
        <v>0</v>
      </c>
      <c r="M58" s="5">
        <f t="shared" si="17"/>
        <v>0</v>
      </c>
      <c r="N58" s="5">
        <f t="shared" si="17"/>
        <v>0</v>
      </c>
      <c r="O58">
        <f t="shared" si="1"/>
        <v>0</v>
      </c>
    </row>
    <row r="59" spans="1:15" x14ac:dyDescent="0.25">
      <c r="A59" s="56"/>
      <c r="B59" s="56" t="s">
        <v>163</v>
      </c>
      <c r="C59" s="51">
        <v>8.3299999999999999E-2</v>
      </c>
      <c r="D59" s="51">
        <v>8.3299999999999999E-2</v>
      </c>
      <c r="E59" s="51">
        <v>8.3299999999999999E-2</v>
      </c>
      <c r="F59" s="51">
        <v>8.3299999999999999E-2</v>
      </c>
      <c r="G59" s="51">
        <v>8.3299999999999999E-2</v>
      </c>
      <c r="H59" s="51">
        <v>8.3299999999999999E-2</v>
      </c>
      <c r="I59" s="51">
        <v>8.3299999999999999E-2</v>
      </c>
      <c r="J59" s="51">
        <v>8.3299999999999999E-2</v>
      </c>
      <c r="K59" s="51">
        <v>8.3299999999999999E-2</v>
      </c>
      <c r="L59" s="51">
        <v>8.3299999999999999E-2</v>
      </c>
      <c r="M59" s="51">
        <v>8.3299999999999999E-2</v>
      </c>
      <c r="N59" s="7">
        <f>1-SUM(C59:M59)</f>
        <v>8.3699999999999886E-2</v>
      </c>
      <c r="O59">
        <f t="shared" si="1"/>
        <v>1</v>
      </c>
    </row>
    <row r="60" spans="1:15" x14ac:dyDescent="0.25">
      <c r="A60" s="56" t="str">
        <f>'Prior year summary'!A53</f>
        <v>Freight</v>
      </c>
      <c r="B60" s="56" t="s">
        <v>161</v>
      </c>
      <c r="C60" s="52"/>
      <c r="D60" s="52"/>
      <c r="E60" s="52"/>
      <c r="F60" s="52"/>
      <c r="G60" s="52"/>
      <c r="H60" s="52"/>
      <c r="I60" s="52"/>
      <c r="J60" s="52"/>
      <c r="K60" s="52"/>
      <c r="L60" s="52"/>
      <c r="M60" s="52"/>
      <c r="N60">
        <f>O60-SUM(C60:M60)</f>
        <v>102470</v>
      </c>
      <c r="O60">
        <f>'Prior year summary'!C53</f>
        <v>102470</v>
      </c>
    </row>
    <row r="61" spans="1:15" x14ac:dyDescent="0.25">
      <c r="A61" s="56"/>
      <c r="B61" s="56" t="s">
        <v>162</v>
      </c>
      <c r="C61" s="5">
        <f t="shared" ref="C61:N61" si="18">IF($O60&gt;0,C60/$O60,0)</f>
        <v>0</v>
      </c>
      <c r="D61" s="5">
        <f t="shared" si="18"/>
        <v>0</v>
      </c>
      <c r="E61" s="5">
        <f t="shared" si="18"/>
        <v>0</v>
      </c>
      <c r="F61" s="5">
        <f t="shared" si="18"/>
        <v>0</v>
      </c>
      <c r="G61" s="5">
        <f t="shared" si="18"/>
        <v>0</v>
      </c>
      <c r="H61" s="5">
        <f t="shared" si="18"/>
        <v>0</v>
      </c>
      <c r="I61" s="5">
        <f t="shared" si="18"/>
        <v>0</v>
      </c>
      <c r="J61" s="5">
        <f t="shared" si="18"/>
        <v>0</v>
      </c>
      <c r="K61" s="5">
        <f t="shared" si="18"/>
        <v>0</v>
      </c>
      <c r="L61" s="5">
        <f t="shared" si="18"/>
        <v>0</v>
      </c>
      <c r="M61" s="5">
        <f t="shared" si="18"/>
        <v>0</v>
      </c>
      <c r="N61" s="5">
        <f t="shared" si="18"/>
        <v>1</v>
      </c>
      <c r="O61">
        <f t="shared" si="1"/>
        <v>1</v>
      </c>
    </row>
    <row r="62" spans="1:15" x14ac:dyDescent="0.25">
      <c r="A62" s="56"/>
      <c r="B62" s="56" t="s">
        <v>163</v>
      </c>
      <c r="C62" s="51">
        <v>8.3299999999999999E-2</v>
      </c>
      <c r="D62" s="51">
        <v>8.3299999999999999E-2</v>
      </c>
      <c r="E62" s="51">
        <v>8.3299999999999999E-2</v>
      </c>
      <c r="F62" s="51">
        <v>8.3299999999999999E-2</v>
      </c>
      <c r="G62" s="51">
        <v>8.3299999999999999E-2</v>
      </c>
      <c r="H62" s="51">
        <v>8.3299999999999999E-2</v>
      </c>
      <c r="I62" s="51">
        <v>8.3299999999999999E-2</v>
      </c>
      <c r="J62" s="51">
        <v>8.3299999999999999E-2</v>
      </c>
      <c r="K62" s="51">
        <v>8.3299999999999999E-2</v>
      </c>
      <c r="L62" s="51">
        <v>8.3299999999999999E-2</v>
      </c>
      <c r="M62" s="51">
        <v>8.3299999999999999E-2</v>
      </c>
      <c r="N62" s="7">
        <f>1-SUM(C62:M62)</f>
        <v>8.3699999999999886E-2</v>
      </c>
      <c r="O62">
        <f t="shared" si="1"/>
        <v>1</v>
      </c>
    </row>
    <row r="63" spans="1:15" x14ac:dyDescent="0.25">
      <c r="A63" s="56" t="str">
        <f>'Prior year summary'!A54</f>
        <v>Finance charge</v>
      </c>
      <c r="B63" s="56" t="s">
        <v>161</v>
      </c>
      <c r="C63" s="52"/>
      <c r="D63" s="52"/>
      <c r="E63" s="52"/>
      <c r="F63" s="52"/>
      <c r="G63" s="52"/>
      <c r="H63" s="52"/>
      <c r="I63" s="52"/>
      <c r="J63" s="52"/>
      <c r="K63" s="52"/>
      <c r="L63" s="52"/>
      <c r="M63" s="52"/>
      <c r="N63">
        <f>O63-SUM(C63:M63)</f>
        <v>175806</v>
      </c>
      <c r="O63">
        <f>'Prior year summary'!C54</f>
        <v>175806</v>
      </c>
    </row>
    <row r="64" spans="1:15" x14ac:dyDescent="0.25">
      <c r="A64" s="56"/>
      <c r="B64" s="56" t="s">
        <v>162</v>
      </c>
      <c r="C64" s="5">
        <f t="shared" ref="C64:N64" si="19">IF($O63&gt;0,C63/$O63,0)</f>
        <v>0</v>
      </c>
      <c r="D64" s="5">
        <f t="shared" si="19"/>
        <v>0</v>
      </c>
      <c r="E64" s="5">
        <f t="shared" si="19"/>
        <v>0</v>
      </c>
      <c r="F64" s="5">
        <f t="shared" si="19"/>
        <v>0</v>
      </c>
      <c r="G64" s="5">
        <f t="shared" si="19"/>
        <v>0</v>
      </c>
      <c r="H64" s="5">
        <f t="shared" si="19"/>
        <v>0</v>
      </c>
      <c r="I64" s="5">
        <f t="shared" si="19"/>
        <v>0</v>
      </c>
      <c r="J64" s="5">
        <f t="shared" si="19"/>
        <v>0</v>
      </c>
      <c r="K64" s="5">
        <f t="shared" si="19"/>
        <v>0</v>
      </c>
      <c r="L64" s="5">
        <f t="shared" si="19"/>
        <v>0</v>
      </c>
      <c r="M64" s="5">
        <f t="shared" si="19"/>
        <v>0</v>
      </c>
      <c r="N64" s="5">
        <f t="shared" si="19"/>
        <v>1</v>
      </c>
      <c r="O64">
        <f t="shared" si="1"/>
        <v>1</v>
      </c>
    </row>
    <row r="65" spans="1:15" x14ac:dyDescent="0.25">
      <c r="A65" s="56"/>
      <c r="B65" s="56" t="s">
        <v>163</v>
      </c>
      <c r="C65" s="51">
        <v>8.3299999999999999E-2</v>
      </c>
      <c r="D65" s="51">
        <v>8.3299999999999999E-2</v>
      </c>
      <c r="E65" s="51">
        <v>8.3299999999999999E-2</v>
      </c>
      <c r="F65" s="51">
        <v>8.3299999999999999E-2</v>
      </c>
      <c r="G65" s="51">
        <v>8.3299999999999999E-2</v>
      </c>
      <c r="H65" s="51">
        <v>8.3299999999999999E-2</v>
      </c>
      <c r="I65" s="51">
        <v>8.3299999999999999E-2</v>
      </c>
      <c r="J65" s="51">
        <v>8.3299999999999999E-2</v>
      </c>
      <c r="K65" s="51">
        <v>8.3299999999999999E-2</v>
      </c>
      <c r="L65" s="51">
        <v>8.3299999999999999E-2</v>
      </c>
      <c r="M65" s="51">
        <v>8.3299999999999999E-2</v>
      </c>
      <c r="N65" s="7">
        <f>1-SUM(C65:M65)</f>
        <v>8.3699999999999886E-2</v>
      </c>
      <c r="O65">
        <f t="shared" si="1"/>
        <v>1</v>
      </c>
    </row>
    <row r="66" spans="1:15" x14ac:dyDescent="0.25">
      <c r="A66" s="56" t="str">
        <f>'Prior year summary'!A55</f>
        <v>Rental</v>
      </c>
      <c r="B66" s="56" t="s">
        <v>161</v>
      </c>
      <c r="C66" s="52"/>
      <c r="D66" s="52"/>
      <c r="E66" s="52"/>
      <c r="F66" s="52"/>
      <c r="G66" s="52"/>
      <c r="H66" s="52"/>
      <c r="I66" s="52"/>
      <c r="J66" s="52"/>
      <c r="K66" s="52"/>
      <c r="L66" s="52"/>
      <c r="M66" s="52"/>
      <c r="N66">
        <f>O66-SUM(C66:M66)</f>
        <v>9350</v>
      </c>
      <c r="O66">
        <f>'Prior year summary'!C55</f>
        <v>9350</v>
      </c>
    </row>
    <row r="67" spans="1:15" x14ac:dyDescent="0.25">
      <c r="A67" s="56"/>
      <c r="B67" s="56" t="s">
        <v>162</v>
      </c>
      <c r="C67" s="5">
        <f t="shared" ref="C67:N67" si="20">IF($O66&gt;0,C66/$O66,0)</f>
        <v>0</v>
      </c>
      <c r="D67" s="5">
        <f t="shared" si="20"/>
        <v>0</v>
      </c>
      <c r="E67" s="5">
        <f t="shared" si="20"/>
        <v>0</v>
      </c>
      <c r="F67" s="5">
        <f t="shared" si="20"/>
        <v>0</v>
      </c>
      <c r="G67" s="5">
        <f t="shared" si="20"/>
        <v>0</v>
      </c>
      <c r="H67" s="5">
        <f t="shared" si="20"/>
        <v>0</v>
      </c>
      <c r="I67" s="5">
        <f t="shared" si="20"/>
        <v>0</v>
      </c>
      <c r="J67" s="5">
        <f t="shared" si="20"/>
        <v>0</v>
      </c>
      <c r="K67" s="5">
        <f t="shared" si="20"/>
        <v>0</v>
      </c>
      <c r="L67" s="5">
        <f t="shared" si="20"/>
        <v>0</v>
      </c>
      <c r="M67" s="5">
        <f t="shared" si="20"/>
        <v>0</v>
      </c>
      <c r="N67" s="5">
        <f t="shared" si="20"/>
        <v>1</v>
      </c>
      <c r="O67">
        <f t="shared" si="1"/>
        <v>1</v>
      </c>
    </row>
    <row r="68" spans="1:15" x14ac:dyDescent="0.25">
      <c r="A68" s="56"/>
      <c r="B68" s="56" t="s">
        <v>163</v>
      </c>
      <c r="C68" s="51">
        <v>8.3299999999999999E-2</v>
      </c>
      <c r="D68" s="51">
        <v>8.3299999999999999E-2</v>
      </c>
      <c r="E68" s="51">
        <v>8.3299999999999999E-2</v>
      </c>
      <c r="F68" s="51">
        <v>8.3299999999999999E-2</v>
      </c>
      <c r="G68" s="51">
        <v>8.3299999999999999E-2</v>
      </c>
      <c r="H68" s="51">
        <v>8.3299999999999999E-2</v>
      </c>
      <c r="I68" s="51">
        <v>8.3299999999999999E-2</v>
      </c>
      <c r="J68" s="51">
        <v>8.3299999999999999E-2</v>
      </c>
      <c r="K68" s="51">
        <v>8.3299999999999999E-2</v>
      </c>
      <c r="L68" s="51">
        <v>8.3299999999999999E-2</v>
      </c>
      <c r="M68" s="51">
        <v>8.3299999999999999E-2</v>
      </c>
      <c r="N68" s="7">
        <f>1-SUM(C68:M68)</f>
        <v>8.3699999999999886E-2</v>
      </c>
      <c r="O68">
        <f t="shared" si="1"/>
        <v>1</v>
      </c>
    </row>
    <row r="69" spans="1:15" x14ac:dyDescent="0.25">
      <c r="A69" s="56" t="str">
        <f>'Prior year summary'!A56</f>
        <v>Fuel hedge</v>
      </c>
      <c r="B69" s="56" t="s">
        <v>161</v>
      </c>
      <c r="C69" s="52"/>
      <c r="D69" s="52"/>
      <c r="E69" s="52"/>
      <c r="F69" s="52"/>
      <c r="G69" s="52"/>
      <c r="H69" s="52"/>
      <c r="I69" s="52"/>
      <c r="J69" s="52"/>
      <c r="K69" s="52"/>
      <c r="L69" s="52"/>
      <c r="M69" s="52"/>
      <c r="N69">
        <f>O69-SUM(C69:M69)</f>
        <v>29742</v>
      </c>
      <c r="O69">
        <f>'Prior year summary'!C56</f>
        <v>29742</v>
      </c>
    </row>
    <row r="70" spans="1:15" x14ac:dyDescent="0.25">
      <c r="A70" s="56"/>
      <c r="B70" s="56" t="s">
        <v>162</v>
      </c>
      <c r="C70" s="5">
        <f t="shared" ref="C70:N70" si="21">IF($O69&gt;0,C69/$O69,0)</f>
        <v>0</v>
      </c>
      <c r="D70" s="5">
        <f t="shared" si="21"/>
        <v>0</v>
      </c>
      <c r="E70" s="5">
        <f t="shared" si="21"/>
        <v>0</v>
      </c>
      <c r="F70" s="5">
        <f t="shared" si="21"/>
        <v>0</v>
      </c>
      <c r="G70" s="5">
        <f t="shared" si="21"/>
        <v>0</v>
      </c>
      <c r="H70" s="5">
        <f t="shared" si="21"/>
        <v>0</v>
      </c>
      <c r="I70" s="5">
        <f t="shared" si="21"/>
        <v>0</v>
      </c>
      <c r="J70" s="5">
        <f t="shared" si="21"/>
        <v>0</v>
      </c>
      <c r="K70" s="5">
        <f t="shared" si="21"/>
        <v>0</v>
      </c>
      <c r="L70" s="5">
        <f t="shared" si="21"/>
        <v>0</v>
      </c>
      <c r="M70" s="5">
        <f t="shared" si="21"/>
        <v>0</v>
      </c>
      <c r="N70" s="5">
        <f t="shared" si="21"/>
        <v>1</v>
      </c>
      <c r="O70">
        <f t="shared" si="1"/>
        <v>1</v>
      </c>
    </row>
    <row r="71" spans="1:15" x14ac:dyDescent="0.25">
      <c r="A71" s="56"/>
      <c r="B71" s="56" t="s">
        <v>163</v>
      </c>
      <c r="C71" s="51">
        <v>8.3299999999999999E-2</v>
      </c>
      <c r="D71" s="51">
        <v>8.3299999999999999E-2</v>
      </c>
      <c r="E71" s="51">
        <v>8.3299999999999999E-2</v>
      </c>
      <c r="F71" s="51">
        <v>8.3299999999999999E-2</v>
      </c>
      <c r="G71" s="51">
        <v>8.3299999999999999E-2</v>
      </c>
      <c r="H71" s="51">
        <v>8.3299999999999999E-2</v>
      </c>
      <c r="I71" s="51">
        <v>8.3299999999999999E-2</v>
      </c>
      <c r="J71" s="51">
        <v>8.3299999999999999E-2</v>
      </c>
      <c r="K71" s="51">
        <v>8.3299999999999999E-2</v>
      </c>
      <c r="L71" s="51">
        <v>8.3299999999999999E-2</v>
      </c>
      <c r="M71" s="51">
        <v>8.3299999999999999E-2</v>
      </c>
      <c r="N71" s="7">
        <f>1-SUM(C71:M71)</f>
        <v>8.3699999999999886E-2</v>
      </c>
      <c r="O71">
        <f t="shared" si="1"/>
        <v>1</v>
      </c>
    </row>
    <row r="72" spans="1:15" x14ac:dyDescent="0.25">
      <c r="A72" s="56" t="str">
        <f>'Prior year summary'!A57</f>
        <v>income 22</v>
      </c>
      <c r="B72" s="56" t="s">
        <v>161</v>
      </c>
      <c r="C72" s="52"/>
      <c r="D72" s="52"/>
      <c r="E72" s="52"/>
      <c r="F72" s="52"/>
      <c r="G72" s="52"/>
      <c r="H72" s="52"/>
      <c r="I72" s="52"/>
      <c r="J72" s="52"/>
      <c r="K72" s="52"/>
      <c r="L72" s="52"/>
      <c r="M72" s="52"/>
      <c r="N72">
        <f>O72-SUM(C72:M72)</f>
        <v>0</v>
      </c>
      <c r="O72">
        <f>'Prior year summary'!C57</f>
        <v>0</v>
      </c>
    </row>
    <row r="73" spans="1:15" x14ac:dyDescent="0.25">
      <c r="A73" s="56"/>
      <c r="B73" s="56" t="s">
        <v>162</v>
      </c>
      <c r="C73" s="5">
        <f t="shared" ref="C73:N73" si="22">IF($O72&gt;0,C72/$O72,0)</f>
        <v>0</v>
      </c>
      <c r="D73" s="5">
        <f t="shared" si="22"/>
        <v>0</v>
      </c>
      <c r="E73" s="5">
        <f t="shared" si="22"/>
        <v>0</v>
      </c>
      <c r="F73" s="5">
        <f t="shared" si="22"/>
        <v>0</v>
      </c>
      <c r="G73" s="5">
        <f t="shared" si="22"/>
        <v>0</v>
      </c>
      <c r="H73" s="5">
        <f t="shared" si="22"/>
        <v>0</v>
      </c>
      <c r="I73" s="5">
        <f t="shared" si="22"/>
        <v>0</v>
      </c>
      <c r="J73" s="5">
        <f t="shared" si="22"/>
        <v>0</v>
      </c>
      <c r="K73" s="5">
        <f t="shared" si="22"/>
        <v>0</v>
      </c>
      <c r="L73" s="5">
        <f t="shared" si="22"/>
        <v>0</v>
      </c>
      <c r="M73" s="5">
        <f t="shared" si="22"/>
        <v>0</v>
      </c>
      <c r="N73" s="5">
        <f t="shared" si="22"/>
        <v>0</v>
      </c>
      <c r="O73">
        <f t="shared" si="1"/>
        <v>0</v>
      </c>
    </row>
    <row r="74" spans="1:15" x14ac:dyDescent="0.25">
      <c r="A74" s="56"/>
      <c r="B74" s="56" t="s">
        <v>163</v>
      </c>
      <c r="C74" s="51">
        <v>8.3299999999999999E-2</v>
      </c>
      <c r="D74" s="51">
        <v>8.3299999999999999E-2</v>
      </c>
      <c r="E74" s="51">
        <v>8.3299999999999999E-2</v>
      </c>
      <c r="F74" s="51">
        <v>8.3299999999999999E-2</v>
      </c>
      <c r="G74" s="51">
        <v>8.3299999999999999E-2</v>
      </c>
      <c r="H74" s="51">
        <v>8.3299999999999999E-2</v>
      </c>
      <c r="I74" s="51">
        <v>8.3299999999999999E-2</v>
      </c>
      <c r="J74" s="51">
        <v>8.3299999999999999E-2</v>
      </c>
      <c r="K74" s="51">
        <v>8.3299999999999999E-2</v>
      </c>
      <c r="L74" s="51">
        <v>8.3299999999999999E-2</v>
      </c>
      <c r="M74" s="51">
        <v>8.3299999999999999E-2</v>
      </c>
      <c r="N74" s="7">
        <f>1-SUM(C74:M74)</f>
        <v>8.3699999999999886E-2</v>
      </c>
      <c r="O74">
        <f>SUM(C74:N74)</f>
        <v>1</v>
      </c>
    </row>
    <row r="75" spans="1:15" x14ac:dyDescent="0.25">
      <c r="A75" s="56" t="str">
        <f>'Prior year summary'!A58</f>
        <v>income 23</v>
      </c>
      <c r="B75" s="56" t="s">
        <v>161</v>
      </c>
      <c r="C75" s="52"/>
      <c r="D75" s="52"/>
      <c r="E75" s="52"/>
      <c r="F75" s="52"/>
      <c r="G75" s="52"/>
      <c r="H75" s="52"/>
      <c r="I75" s="52"/>
      <c r="J75" s="52"/>
      <c r="K75" s="52"/>
      <c r="L75" s="52"/>
      <c r="M75" s="52"/>
      <c r="N75">
        <f>O75-SUM(C75:M75)</f>
        <v>0</v>
      </c>
      <c r="O75">
        <f>'Prior year summary'!C58</f>
        <v>0</v>
      </c>
    </row>
    <row r="76" spans="1:15" x14ac:dyDescent="0.25">
      <c r="A76" s="56"/>
      <c r="B76" s="56" t="s">
        <v>162</v>
      </c>
      <c r="C76" s="5">
        <f t="shared" ref="C76:N76" si="23">IF($O75&gt;0,C75/$O75,0)</f>
        <v>0</v>
      </c>
      <c r="D76" s="5">
        <f t="shared" si="23"/>
        <v>0</v>
      </c>
      <c r="E76" s="5">
        <f t="shared" si="23"/>
        <v>0</v>
      </c>
      <c r="F76" s="5">
        <f t="shared" si="23"/>
        <v>0</v>
      </c>
      <c r="G76" s="5">
        <f t="shared" si="23"/>
        <v>0</v>
      </c>
      <c r="H76" s="5">
        <f t="shared" si="23"/>
        <v>0</v>
      </c>
      <c r="I76" s="5">
        <f t="shared" si="23"/>
        <v>0</v>
      </c>
      <c r="J76" s="5">
        <f t="shared" si="23"/>
        <v>0</v>
      </c>
      <c r="K76" s="5">
        <f t="shared" si="23"/>
        <v>0</v>
      </c>
      <c r="L76" s="5">
        <f t="shared" si="23"/>
        <v>0</v>
      </c>
      <c r="M76" s="5">
        <f t="shared" si="23"/>
        <v>0</v>
      </c>
      <c r="N76" s="5">
        <f t="shared" si="23"/>
        <v>0</v>
      </c>
      <c r="O76">
        <f t="shared" ref="O76:O86" si="24">SUM(C76:N76)</f>
        <v>0</v>
      </c>
    </row>
    <row r="77" spans="1:15" x14ac:dyDescent="0.25">
      <c r="A77" s="56"/>
      <c r="B77" s="56" t="s">
        <v>163</v>
      </c>
      <c r="C77" s="51">
        <v>8.3299999999999999E-2</v>
      </c>
      <c r="D77" s="51">
        <v>8.3299999999999999E-2</v>
      </c>
      <c r="E77" s="51">
        <v>8.3299999999999999E-2</v>
      </c>
      <c r="F77" s="51">
        <v>8.3299999999999999E-2</v>
      </c>
      <c r="G77" s="51">
        <v>8.3299999999999999E-2</v>
      </c>
      <c r="H77" s="51">
        <v>8.3299999999999999E-2</v>
      </c>
      <c r="I77" s="51">
        <v>8.3299999999999999E-2</v>
      </c>
      <c r="J77" s="51">
        <v>8.3299999999999999E-2</v>
      </c>
      <c r="K77" s="51">
        <v>8.3299999999999999E-2</v>
      </c>
      <c r="L77" s="51">
        <v>8.3299999999999999E-2</v>
      </c>
      <c r="M77" s="51">
        <v>8.3299999999999999E-2</v>
      </c>
      <c r="N77" s="7">
        <f>1-SUM(C77:M77)</f>
        <v>8.3699999999999886E-2</v>
      </c>
      <c r="O77">
        <f t="shared" si="24"/>
        <v>1</v>
      </c>
    </row>
    <row r="78" spans="1:15" x14ac:dyDescent="0.25">
      <c r="A78" s="56" t="str">
        <f>'Prior year summary'!A59</f>
        <v>income 24</v>
      </c>
      <c r="B78" s="56" t="s">
        <v>161</v>
      </c>
      <c r="C78" s="52"/>
      <c r="D78" s="52"/>
      <c r="E78" s="52"/>
      <c r="F78" s="52"/>
      <c r="G78" s="52"/>
      <c r="H78" s="52"/>
      <c r="I78" s="52"/>
      <c r="J78" s="52"/>
      <c r="K78" s="52"/>
      <c r="L78" s="52"/>
      <c r="M78" s="52"/>
      <c r="N78">
        <f>O78-SUM(C78:M78)</f>
        <v>0</v>
      </c>
      <c r="O78">
        <f>'Prior year summary'!C59</f>
        <v>0</v>
      </c>
    </row>
    <row r="79" spans="1:15" x14ac:dyDescent="0.25">
      <c r="A79" s="56"/>
      <c r="B79" s="56" t="s">
        <v>162</v>
      </c>
      <c r="C79" s="5">
        <f t="shared" ref="C79:N79" si="25">IF($O78&gt;0,C78/$O78,0)</f>
        <v>0</v>
      </c>
      <c r="D79" s="5">
        <f t="shared" si="25"/>
        <v>0</v>
      </c>
      <c r="E79" s="5">
        <f t="shared" si="25"/>
        <v>0</v>
      </c>
      <c r="F79" s="5">
        <f t="shared" si="25"/>
        <v>0</v>
      </c>
      <c r="G79" s="5">
        <f t="shared" si="25"/>
        <v>0</v>
      </c>
      <c r="H79" s="5">
        <f t="shared" si="25"/>
        <v>0</v>
      </c>
      <c r="I79" s="5">
        <f t="shared" si="25"/>
        <v>0</v>
      </c>
      <c r="J79" s="5">
        <f t="shared" si="25"/>
        <v>0</v>
      </c>
      <c r="K79" s="5">
        <f t="shared" si="25"/>
        <v>0</v>
      </c>
      <c r="L79" s="5">
        <f t="shared" si="25"/>
        <v>0</v>
      </c>
      <c r="M79" s="5">
        <f t="shared" si="25"/>
        <v>0</v>
      </c>
      <c r="N79" s="5">
        <f t="shared" si="25"/>
        <v>0</v>
      </c>
      <c r="O79">
        <f t="shared" si="24"/>
        <v>0</v>
      </c>
    </row>
    <row r="80" spans="1:15" x14ac:dyDescent="0.25">
      <c r="A80" s="56"/>
      <c r="B80" s="56" t="s">
        <v>163</v>
      </c>
      <c r="C80" s="51">
        <v>8.3299999999999999E-2</v>
      </c>
      <c r="D80" s="51">
        <v>8.3299999999999999E-2</v>
      </c>
      <c r="E80" s="51">
        <v>8.3299999999999999E-2</v>
      </c>
      <c r="F80" s="51">
        <v>8.3299999999999999E-2</v>
      </c>
      <c r="G80" s="51">
        <v>8.3299999999999999E-2</v>
      </c>
      <c r="H80" s="51">
        <v>8.3299999999999999E-2</v>
      </c>
      <c r="I80" s="51">
        <v>8.3299999999999999E-2</v>
      </c>
      <c r="J80" s="51">
        <v>8.3299999999999999E-2</v>
      </c>
      <c r="K80" s="51">
        <v>8.3299999999999999E-2</v>
      </c>
      <c r="L80" s="51">
        <v>8.3299999999999999E-2</v>
      </c>
      <c r="M80" s="51">
        <v>8.3299999999999999E-2</v>
      </c>
      <c r="N80" s="7">
        <f>1-SUM(C80:M80)</f>
        <v>8.3699999999999886E-2</v>
      </c>
      <c r="O80">
        <f t="shared" si="24"/>
        <v>1</v>
      </c>
    </row>
    <row r="81" spans="1:15" x14ac:dyDescent="0.25">
      <c r="A81" s="56" t="str">
        <f>'Prior year summary'!A60</f>
        <v>income 25</v>
      </c>
      <c r="B81" s="56" t="s">
        <v>161</v>
      </c>
      <c r="C81" s="52"/>
      <c r="D81" s="52"/>
      <c r="E81" s="52"/>
      <c r="F81" s="52"/>
      <c r="G81" s="52"/>
      <c r="H81" s="52"/>
      <c r="I81" s="52"/>
      <c r="J81" s="52"/>
      <c r="K81" s="52"/>
      <c r="L81" s="52"/>
      <c r="M81" s="52"/>
      <c r="N81">
        <f>O81-SUM(C81:M81)</f>
        <v>0</v>
      </c>
      <c r="O81">
        <f>'Prior year summary'!C60</f>
        <v>0</v>
      </c>
    </row>
    <row r="82" spans="1:15" x14ac:dyDescent="0.25">
      <c r="A82" s="56"/>
      <c r="B82" s="56" t="s">
        <v>162</v>
      </c>
      <c r="C82" s="5">
        <f t="shared" ref="C82:N82" si="26">IF($O81&gt;0,C81/$O81,0)</f>
        <v>0</v>
      </c>
      <c r="D82" s="5">
        <f t="shared" si="26"/>
        <v>0</v>
      </c>
      <c r="E82" s="5">
        <f t="shared" si="26"/>
        <v>0</v>
      </c>
      <c r="F82" s="5">
        <f t="shared" si="26"/>
        <v>0</v>
      </c>
      <c r="G82" s="5">
        <f t="shared" si="26"/>
        <v>0</v>
      </c>
      <c r="H82" s="5">
        <f t="shared" si="26"/>
        <v>0</v>
      </c>
      <c r="I82" s="5">
        <f t="shared" si="26"/>
        <v>0</v>
      </c>
      <c r="J82" s="5">
        <f t="shared" si="26"/>
        <v>0</v>
      </c>
      <c r="K82" s="5">
        <f t="shared" si="26"/>
        <v>0</v>
      </c>
      <c r="L82" s="5">
        <f t="shared" si="26"/>
        <v>0</v>
      </c>
      <c r="M82" s="5">
        <f t="shared" si="26"/>
        <v>0</v>
      </c>
      <c r="N82" s="5">
        <f t="shared" si="26"/>
        <v>0</v>
      </c>
      <c r="O82">
        <f t="shared" si="24"/>
        <v>0</v>
      </c>
    </row>
    <row r="83" spans="1:15" x14ac:dyDescent="0.25">
      <c r="A83" s="56"/>
      <c r="B83" s="56" t="s">
        <v>163</v>
      </c>
      <c r="C83" s="51">
        <v>8.3299999999999999E-2</v>
      </c>
      <c r="D83" s="51">
        <v>8.3299999999999999E-2</v>
      </c>
      <c r="E83" s="51">
        <v>8.3299999999999999E-2</v>
      </c>
      <c r="F83" s="51">
        <v>8.3299999999999999E-2</v>
      </c>
      <c r="G83" s="51">
        <v>8.3299999999999999E-2</v>
      </c>
      <c r="H83" s="51">
        <v>8.3299999999999999E-2</v>
      </c>
      <c r="I83" s="51">
        <v>8.3299999999999999E-2</v>
      </c>
      <c r="J83" s="51">
        <v>8.3299999999999999E-2</v>
      </c>
      <c r="K83" s="51">
        <v>8.3299999999999999E-2</v>
      </c>
      <c r="L83" s="51">
        <v>8.3299999999999999E-2</v>
      </c>
      <c r="M83" s="51">
        <v>8.3299999999999999E-2</v>
      </c>
      <c r="N83" s="7">
        <f>1-SUM(C83:M83)</f>
        <v>8.3699999999999886E-2</v>
      </c>
      <c r="O83">
        <f t="shared" si="24"/>
        <v>1</v>
      </c>
    </row>
    <row r="84" spans="1:15" x14ac:dyDescent="0.25">
      <c r="A84" s="56" t="str">
        <f>'Prior year summary'!A61</f>
        <v>income 26</v>
      </c>
      <c r="B84" s="56" t="s">
        <v>161</v>
      </c>
      <c r="C84" s="52"/>
      <c r="D84" s="52"/>
      <c r="E84" s="52"/>
      <c r="F84" s="52"/>
      <c r="G84" s="52"/>
      <c r="H84" s="52"/>
      <c r="I84" s="52"/>
      <c r="J84" s="52"/>
      <c r="K84" s="52"/>
      <c r="L84" s="52"/>
      <c r="M84" s="52"/>
      <c r="N84">
        <f>O84-SUM(C84:M84)</f>
        <v>0</v>
      </c>
      <c r="O84">
        <f>'Prior year summary'!C61</f>
        <v>0</v>
      </c>
    </row>
    <row r="85" spans="1:15" x14ac:dyDescent="0.25">
      <c r="A85" s="56"/>
      <c r="B85" s="56" t="s">
        <v>162</v>
      </c>
      <c r="C85" s="5">
        <f t="shared" ref="C85:N85" si="27">IF($O84&gt;0,C84/$O84,0)</f>
        <v>0</v>
      </c>
      <c r="D85" s="5">
        <f t="shared" si="27"/>
        <v>0</v>
      </c>
      <c r="E85" s="5">
        <f t="shared" si="27"/>
        <v>0</v>
      </c>
      <c r="F85" s="5">
        <f t="shared" si="27"/>
        <v>0</v>
      </c>
      <c r="G85" s="5">
        <f t="shared" si="27"/>
        <v>0</v>
      </c>
      <c r="H85" s="5">
        <f t="shared" si="27"/>
        <v>0</v>
      </c>
      <c r="I85" s="5">
        <f t="shared" si="27"/>
        <v>0</v>
      </c>
      <c r="J85" s="5">
        <f t="shared" si="27"/>
        <v>0</v>
      </c>
      <c r="K85" s="5">
        <f t="shared" si="27"/>
        <v>0</v>
      </c>
      <c r="L85" s="5">
        <f t="shared" si="27"/>
        <v>0</v>
      </c>
      <c r="M85" s="5">
        <f t="shared" si="27"/>
        <v>0</v>
      </c>
      <c r="N85" s="5">
        <f t="shared" si="27"/>
        <v>0</v>
      </c>
      <c r="O85">
        <f t="shared" si="24"/>
        <v>0</v>
      </c>
    </row>
    <row r="86" spans="1:15" x14ac:dyDescent="0.25">
      <c r="A86" s="56"/>
      <c r="B86" s="56" t="s">
        <v>163</v>
      </c>
      <c r="C86" s="51">
        <v>8.3299999999999999E-2</v>
      </c>
      <c r="D86" s="51">
        <v>8.3299999999999999E-2</v>
      </c>
      <c r="E86" s="51">
        <v>8.3299999999999999E-2</v>
      </c>
      <c r="F86" s="51">
        <v>8.3299999999999999E-2</v>
      </c>
      <c r="G86" s="51">
        <v>8.3299999999999999E-2</v>
      </c>
      <c r="H86" s="51">
        <v>8.3299999999999999E-2</v>
      </c>
      <c r="I86" s="51">
        <v>8.3299999999999999E-2</v>
      </c>
      <c r="J86" s="51">
        <v>8.3299999999999999E-2</v>
      </c>
      <c r="K86" s="51">
        <v>8.3299999999999999E-2</v>
      </c>
      <c r="L86" s="51">
        <v>8.3299999999999999E-2</v>
      </c>
      <c r="M86" s="51">
        <v>8.3299999999999999E-2</v>
      </c>
      <c r="N86" s="7">
        <f>1-SUM(C86:M86)</f>
        <v>8.3699999999999886E-2</v>
      </c>
      <c r="O86">
        <f t="shared" si="24"/>
        <v>1</v>
      </c>
    </row>
    <row r="87" spans="1:15" x14ac:dyDescent="0.25">
      <c r="A87" s="56"/>
      <c r="B87" s="56"/>
    </row>
    <row r="88" spans="1:15" x14ac:dyDescent="0.25">
      <c r="A88" s="56" t="s">
        <v>289</v>
      </c>
      <c r="B88" s="56" t="s">
        <v>161</v>
      </c>
      <c r="C88" s="52">
        <v>98000</v>
      </c>
      <c r="D88" s="52"/>
      <c r="E88" s="52"/>
      <c r="F88" s="52"/>
      <c r="G88" s="52"/>
      <c r="H88" s="52"/>
      <c r="I88" s="52"/>
      <c r="J88" s="52"/>
      <c r="K88" s="52"/>
      <c r="L88" s="52"/>
      <c r="M88" s="52"/>
      <c r="N88">
        <f>O88-SUM(C88:M88)</f>
        <v>0</v>
      </c>
      <c r="O88">
        <f>'Prior year summary'!B126</f>
        <v>98000</v>
      </c>
    </row>
    <row r="89" spans="1:15" x14ac:dyDescent="0.25">
      <c r="A89" s="56"/>
      <c r="B89" s="56" t="s">
        <v>162</v>
      </c>
      <c r="C89" s="5">
        <f t="shared" ref="C89:N89" si="28">IF($O88&gt;0,C88/$O88,0)</f>
        <v>1</v>
      </c>
      <c r="D89" s="5">
        <f t="shared" si="28"/>
        <v>0</v>
      </c>
      <c r="E89" s="5">
        <f t="shared" si="28"/>
        <v>0</v>
      </c>
      <c r="F89" s="5">
        <f t="shared" si="28"/>
        <v>0</v>
      </c>
      <c r="G89" s="5">
        <f t="shared" si="28"/>
        <v>0</v>
      </c>
      <c r="H89" s="5">
        <f t="shared" si="28"/>
        <v>0</v>
      </c>
      <c r="I89" s="5">
        <f t="shared" si="28"/>
        <v>0</v>
      </c>
      <c r="J89" s="5">
        <f t="shared" si="28"/>
        <v>0</v>
      </c>
      <c r="K89" s="5">
        <f t="shared" si="28"/>
        <v>0</v>
      </c>
      <c r="L89" s="5">
        <f t="shared" si="28"/>
        <v>0</v>
      </c>
      <c r="M89" s="5">
        <f t="shared" si="28"/>
        <v>0</v>
      </c>
      <c r="N89" s="5">
        <f t="shared" si="28"/>
        <v>0</v>
      </c>
      <c r="O89">
        <f>SUM(C89:N89)</f>
        <v>1</v>
      </c>
    </row>
    <row r="90" spans="1:15" x14ac:dyDescent="0.25">
      <c r="A90" s="56"/>
      <c r="B90" s="56" t="s">
        <v>163</v>
      </c>
      <c r="C90" s="51">
        <v>1</v>
      </c>
      <c r="D90" s="51"/>
      <c r="E90" s="51"/>
      <c r="F90" s="51"/>
      <c r="G90" s="51"/>
      <c r="H90" s="51"/>
      <c r="I90" s="51"/>
      <c r="J90" s="51"/>
      <c r="K90" s="51"/>
      <c r="L90" s="51"/>
      <c r="M90" s="51"/>
      <c r="N90" s="7">
        <f>1-SUM(C90:M90)</f>
        <v>0</v>
      </c>
      <c r="O90">
        <f>SUM(C90:N90)</f>
        <v>1</v>
      </c>
    </row>
    <row r="91" spans="1:15" x14ac:dyDescent="0.25">
      <c r="A91" s="56"/>
      <c r="B91" s="56"/>
      <c r="C91" s="4"/>
    </row>
    <row r="92" spans="1:15" x14ac:dyDescent="0.25">
      <c r="C92" s="4"/>
    </row>
  </sheetData>
  <mergeCells count="1">
    <mergeCell ref="C2:L2"/>
  </mergeCells>
  <phoneticPr fontId="2" type="noConversion"/>
  <hyperlinks>
    <hyperlink ref="C6" location="Instructions!L8" display="Instructions!L8"/>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2"/>
  <sheetViews>
    <sheetView topLeftCell="A130" zoomScale="90" zoomScaleNormal="90" workbookViewId="0">
      <selection activeCell="A6" sqref="A6"/>
    </sheetView>
  </sheetViews>
  <sheetFormatPr defaultRowHeight="15" x14ac:dyDescent="0.25"/>
  <cols>
    <col min="14" max="15" width="9.85546875" bestFit="1" customWidth="1"/>
  </cols>
  <sheetData>
    <row r="1" spans="1:15" x14ac:dyDescent="0.25">
      <c r="A1" s="2" t="s">
        <v>410</v>
      </c>
    </row>
    <row r="3" spans="1:15" x14ac:dyDescent="0.25">
      <c r="A3" s="79" t="s">
        <v>302</v>
      </c>
      <c r="B3" s="79"/>
      <c r="C3" s="79"/>
      <c r="D3" s="79"/>
      <c r="E3" s="79"/>
      <c r="F3" s="79"/>
      <c r="G3" s="79"/>
      <c r="H3" s="79"/>
      <c r="I3" s="79"/>
      <c r="J3" s="79"/>
      <c r="K3" s="52"/>
    </row>
    <row r="4" spans="1:15" x14ac:dyDescent="0.25">
      <c r="A4" s="35" t="s">
        <v>322</v>
      </c>
      <c r="B4" s="35"/>
      <c r="C4" s="35"/>
      <c r="D4" s="35"/>
      <c r="E4" s="35"/>
      <c r="F4" s="35"/>
      <c r="G4" s="35"/>
      <c r="H4" s="35"/>
    </row>
    <row r="5" spans="1:15" x14ac:dyDescent="0.25">
      <c r="A5" s="37" t="s">
        <v>303</v>
      </c>
      <c r="B5" s="37"/>
      <c r="C5" s="37"/>
      <c r="D5" s="37"/>
      <c r="E5" s="37"/>
      <c r="F5" s="37"/>
      <c r="G5" s="37"/>
      <c r="H5" s="37"/>
      <c r="L5" s="51"/>
    </row>
    <row r="6" spans="1:15" x14ac:dyDescent="0.25">
      <c r="A6" s="36" t="str">
        <f>'Monthly Sales Worksheet'!$C$6</f>
        <v>Back to Instructions</v>
      </c>
      <c r="B6" s="37"/>
      <c r="C6" s="37"/>
      <c r="D6" s="37"/>
      <c r="E6" s="37"/>
      <c r="F6" s="37"/>
      <c r="G6" s="37"/>
      <c r="H6" s="37"/>
    </row>
    <row r="7" spans="1:15" x14ac:dyDescent="0.25">
      <c r="A7" s="37"/>
      <c r="B7" s="37"/>
      <c r="C7" s="37"/>
      <c r="D7" s="37"/>
      <c r="E7" s="37"/>
      <c r="F7" s="37"/>
      <c r="G7" s="37"/>
      <c r="H7" s="37"/>
    </row>
    <row r="8" spans="1:15" x14ac:dyDescent="0.25">
      <c r="C8" t="str">
        <f>'Monthly Sales Worksheet'!C8</f>
        <v>JAN</v>
      </c>
      <c r="D8" t="str">
        <f>'Monthly Sales Worksheet'!D8</f>
        <v>FEB</v>
      </c>
      <c r="E8" t="str">
        <f>'Monthly Sales Worksheet'!E8</f>
        <v>MAR</v>
      </c>
      <c r="F8" t="str">
        <f>'Monthly Sales Worksheet'!F8</f>
        <v>APRIL</v>
      </c>
      <c r="G8" t="str">
        <f>'Monthly Sales Worksheet'!G8</f>
        <v>MAY</v>
      </c>
      <c r="H8" t="str">
        <f>'Monthly Sales Worksheet'!H8</f>
        <v>JUN</v>
      </c>
      <c r="I8" t="str">
        <f>'Monthly Sales Worksheet'!I8</f>
        <v>JUL</v>
      </c>
      <c r="J8" t="str">
        <f>'Monthly Sales Worksheet'!J8</f>
        <v>AUG</v>
      </c>
      <c r="K8" t="str">
        <f>'Monthly Sales Worksheet'!K8</f>
        <v>SEPT</v>
      </c>
      <c r="L8" t="str">
        <f>'Monthly Sales Worksheet'!L8</f>
        <v>OCT</v>
      </c>
      <c r="M8" t="str">
        <f>'Monthly Sales Worksheet'!M8</f>
        <v>NOV</v>
      </c>
      <c r="N8" t="str">
        <f>'Monthly Sales Worksheet'!N8</f>
        <v>DEC</v>
      </c>
      <c r="O8" t="str">
        <f>'Monthly Sales Worksheet'!O8</f>
        <v>TOTAL</v>
      </c>
    </row>
    <row r="9" spans="1:15" x14ac:dyDescent="0.25">
      <c r="A9" t="str">
        <f>'Prior year summary'!A71</f>
        <v>Salaries</v>
      </c>
      <c r="B9" t="s">
        <v>158</v>
      </c>
      <c r="C9" s="52"/>
      <c r="D9" s="52"/>
      <c r="E9" s="52"/>
      <c r="F9" s="52"/>
      <c r="G9" s="52"/>
      <c r="H9" s="52"/>
      <c r="I9" s="52"/>
      <c r="J9" s="52"/>
      <c r="K9" s="52"/>
      <c r="L9" s="52"/>
      <c r="M9" s="52"/>
      <c r="N9" s="57">
        <f>O9-SUM(C9:M9)</f>
        <v>1378438</v>
      </c>
      <c r="O9" s="8">
        <f>'Prior year summary'!B71</f>
        <v>1378438</v>
      </c>
    </row>
    <row r="10" spans="1:15" x14ac:dyDescent="0.25">
      <c r="B10" t="s">
        <v>160</v>
      </c>
      <c r="C10" s="10">
        <f t="shared" ref="C10:N10" si="0">IF($O9&gt;0,C9/$O9,0)</f>
        <v>0</v>
      </c>
      <c r="D10" s="10">
        <f t="shared" si="0"/>
        <v>0</v>
      </c>
      <c r="E10" s="10">
        <f t="shared" si="0"/>
        <v>0</v>
      </c>
      <c r="F10" s="10">
        <f t="shared" si="0"/>
        <v>0</v>
      </c>
      <c r="G10" s="10">
        <f t="shared" si="0"/>
        <v>0</v>
      </c>
      <c r="H10" s="10">
        <f t="shared" si="0"/>
        <v>0</v>
      </c>
      <c r="I10" s="10">
        <f t="shared" si="0"/>
        <v>0</v>
      </c>
      <c r="J10" s="10">
        <f t="shared" si="0"/>
        <v>0</v>
      </c>
      <c r="K10" s="10">
        <f t="shared" si="0"/>
        <v>0</v>
      </c>
      <c r="L10" s="10">
        <f t="shared" si="0"/>
        <v>0</v>
      </c>
      <c r="M10" s="10">
        <f t="shared" si="0"/>
        <v>0</v>
      </c>
      <c r="N10" s="10">
        <f t="shared" si="0"/>
        <v>1</v>
      </c>
      <c r="O10" s="5">
        <f>SUM(C10:N10)</f>
        <v>1</v>
      </c>
    </row>
    <row r="11" spans="1:15" x14ac:dyDescent="0.25">
      <c r="B11" t="s">
        <v>159</v>
      </c>
      <c r="C11" s="68">
        <v>8.3299999999999999E-2</v>
      </c>
      <c r="D11" s="68">
        <v>8.3299999999999999E-2</v>
      </c>
      <c r="E11" s="68">
        <v>8.3299999999999999E-2</v>
      </c>
      <c r="F11" s="68">
        <v>8.3299999999999999E-2</v>
      </c>
      <c r="G11" s="68">
        <v>8.3299999999999999E-2</v>
      </c>
      <c r="H11" s="68">
        <v>8.3299999999999999E-2</v>
      </c>
      <c r="I11" s="68">
        <v>8.3299999999999999E-2</v>
      </c>
      <c r="J11" s="68">
        <v>8.3299999999999999E-2</v>
      </c>
      <c r="K11" s="68">
        <v>8.3299999999999999E-2</v>
      </c>
      <c r="L11" s="68">
        <v>8.3299999999999999E-2</v>
      </c>
      <c r="M11" s="68">
        <v>8.3299999999999999E-2</v>
      </c>
      <c r="N11" s="68">
        <f>1-SUM(C11:M11)</f>
        <v>8.3699999999999886E-2</v>
      </c>
      <c r="O11" s="5">
        <f>SUM(C11:N11)</f>
        <v>1</v>
      </c>
    </row>
    <row r="12" spans="1:15" x14ac:dyDescent="0.25">
      <c r="A12" t="str">
        <f>'Prior year summary'!A72</f>
        <v>Payroll Tax</v>
      </c>
      <c r="B12" t="s">
        <v>158</v>
      </c>
      <c r="C12" s="52"/>
      <c r="D12" s="52"/>
      <c r="E12" s="52"/>
      <c r="F12" s="52"/>
      <c r="G12" s="52"/>
      <c r="H12" s="52"/>
      <c r="I12" s="52"/>
      <c r="J12" s="52"/>
      <c r="K12" s="52"/>
      <c r="L12" s="52"/>
      <c r="M12" s="52"/>
      <c r="N12" s="52"/>
      <c r="O12" s="8">
        <f>'Prior year summary'!B72</f>
        <v>186520</v>
      </c>
    </row>
    <row r="13" spans="1:15" x14ac:dyDescent="0.25">
      <c r="B13" t="s">
        <v>160</v>
      </c>
      <c r="C13" s="10">
        <f t="shared" ref="C13:N13" si="1">IF($O12&gt;0,C12/$O12,0)</f>
        <v>0</v>
      </c>
      <c r="D13" s="10">
        <f t="shared" si="1"/>
        <v>0</v>
      </c>
      <c r="E13" s="10">
        <f t="shared" si="1"/>
        <v>0</v>
      </c>
      <c r="F13" s="10">
        <f t="shared" si="1"/>
        <v>0</v>
      </c>
      <c r="G13" s="10">
        <f t="shared" si="1"/>
        <v>0</v>
      </c>
      <c r="H13" s="10">
        <f t="shared" si="1"/>
        <v>0</v>
      </c>
      <c r="I13" s="10">
        <f t="shared" si="1"/>
        <v>0</v>
      </c>
      <c r="J13" s="10">
        <f t="shared" si="1"/>
        <v>0</v>
      </c>
      <c r="K13" s="10">
        <f t="shared" si="1"/>
        <v>0</v>
      </c>
      <c r="L13" s="10">
        <f t="shared" si="1"/>
        <v>0</v>
      </c>
      <c r="M13" s="10">
        <f t="shared" si="1"/>
        <v>0</v>
      </c>
      <c r="N13" s="10">
        <f t="shared" si="1"/>
        <v>0</v>
      </c>
      <c r="O13" s="5">
        <f>SUM(C13:N13)</f>
        <v>0</v>
      </c>
    </row>
    <row r="14" spans="1:15" x14ac:dyDescent="0.25">
      <c r="B14" t="s">
        <v>159</v>
      </c>
      <c r="C14" s="68">
        <v>8.3299999999999999E-2</v>
      </c>
      <c r="D14" s="68">
        <v>8.3299999999999999E-2</v>
      </c>
      <c r="E14" s="68">
        <v>8.3299999999999999E-2</v>
      </c>
      <c r="F14" s="68">
        <v>8.3299999999999999E-2</v>
      </c>
      <c r="G14" s="68">
        <v>8.3299999999999999E-2</v>
      </c>
      <c r="H14" s="68">
        <v>8.3299999999999999E-2</v>
      </c>
      <c r="I14" s="68">
        <v>8.3299999999999999E-2</v>
      </c>
      <c r="J14" s="68">
        <v>8.3299999999999999E-2</v>
      </c>
      <c r="K14" s="68">
        <v>8.3299999999999999E-2</v>
      </c>
      <c r="L14" s="68">
        <v>8.3299999999999999E-2</v>
      </c>
      <c r="M14" s="68">
        <v>8.3299999999999999E-2</v>
      </c>
      <c r="N14" s="68">
        <f>1-SUM(C14:M14)</f>
        <v>8.3699999999999886E-2</v>
      </c>
      <c r="O14" s="5">
        <f>SUM(C14:N14)</f>
        <v>1</v>
      </c>
    </row>
    <row r="15" spans="1:15" x14ac:dyDescent="0.25">
      <c r="A15" t="str">
        <f>'Prior year summary'!A73</f>
        <v>Group Insurance</v>
      </c>
      <c r="B15" t="s">
        <v>158</v>
      </c>
      <c r="C15" s="52"/>
      <c r="D15" s="52"/>
      <c r="E15" s="52"/>
      <c r="F15" s="52"/>
      <c r="G15" s="52"/>
      <c r="H15" s="52"/>
      <c r="I15" s="52"/>
      <c r="J15" s="52"/>
      <c r="K15" s="52"/>
      <c r="L15" s="52"/>
      <c r="M15" s="52"/>
      <c r="N15" s="52"/>
      <c r="O15" s="8">
        <f>'Prior year summary'!B73</f>
        <v>268523</v>
      </c>
    </row>
    <row r="16" spans="1:15" x14ac:dyDescent="0.25">
      <c r="B16" t="s">
        <v>160</v>
      </c>
      <c r="C16" s="10">
        <f t="shared" ref="C16:N16" si="2">IF($O15&gt;0,C15/$O15,0)</f>
        <v>0</v>
      </c>
      <c r="D16" s="10">
        <f t="shared" si="2"/>
        <v>0</v>
      </c>
      <c r="E16" s="10">
        <f t="shared" si="2"/>
        <v>0</v>
      </c>
      <c r="F16" s="10">
        <f t="shared" si="2"/>
        <v>0</v>
      </c>
      <c r="G16" s="10">
        <f t="shared" si="2"/>
        <v>0</v>
      </c>
      <c r="H16" s="10">
        <f t="shared" si="2"/>
        <v>0</v>
      </c>
      <c r="I16" s="10">
        <f t="shared" si="2"/>
        <v>0</v>
      </c>
      <c r="J16" s="10">
        <f t="shared" si="2"/>
        <v>0</v>
      </c>
      <c r="K16" s="10">
        <f t="shared" si="2"/>
        <v>0</v>
      </c>
      <c r="L16" s="10">
        <f t="shared" si="2"/>
        <v>0</v>
      </c>
      <c r="M16" s="10">
        <f t="shared" si="2"/>
        <v>0</v>
      </c>
      <c r="N16" s="10">
        <f t="shared" si="2"/>
        <v>0</v>
      </c>
      <c r="O16" s="5">
        <f>SUM(C16:N16)</f>
        <v>0</v>
      </c>
    </row>
    <row r="17" spans="1:15" x14ac:dyDescent="0.25">
      <c r="B17" t="s">
        <v>159</v>
      </c>
      <c r="C17" s="68">
        <v>8.3299999999999999E-2</v>
      </c>
      <c r="D17" s="68">
        <v>8.3299999999999999E-2</v>
      </c>
      <c r="E17" s="68">
        <v>8.3299999999999999E-2</v>
      </c>
      <c r="F17" s="68">
        <v>8.3299999999999999E-2</v>
      </c>
      <c r="G17" s="68">
        <v>8.3299999999999999E-2</v>
      </c>
      <c r="H17" s="68">
        <v>8.3299999999999999E-2</v>
      </c>
      <c r="I17" s="68">
        <v>8.3299999999999999E-2</v>
      </c>
      <c r="J17" s="68">
        <v>8.3299999999999999E-2</v>
      </c>
      <c r="K17" s="68">
        <v>8.3299999999999999E-2</v>
      </c>
      <c r="L17" s="68">
        <v>8.3299999999999999E-2</v>
      </c>
      <c r="M17" s="68">
        <v>8.3299999999999999E-2</v>
      </c>
      <c r="N17" s="68">
        <f>1-SUM(C17:M17)</f>
        <v>8.3699999999999886E-2</v>
      </c>
      <c r="O17" s="5">
        <f>SUM(C17:N17)</f>
        <v>1</v>
      </c>
    </row>
    <row r="18" spans="1:15" x14ac:dyDescent="0.25">
      <c r="A18" t="str">
        <f>'Prior year summary'!A74</f>
        <v>Retirement</v>
      </c>
      <c r="B18" t="s">
        <v>158</v>
      </c>
      <c r="C18" s="52"/>
      <c r="D18" s="52"/>
      <c r="E18" s="52"/>
      <c r="F18" s="52"/>
      <c r="G18" s="52"/>
      <c r="H18" s="52"/>
      <c r="I18" s="52"/>
      <c r="J18" s="52"/>
      <c r="K18" s="52"/>
      <c r="L18" s="52"/>
      <c r="M18" s="52"/>
      <c r="N18" s="52"/>
      <c r="O18" s="8">
        <f>'Prior year summary'!B74</f>
        <v>181304</v>
      </c>
    </row>
    <row r="19" spans="1:15" x14ac:dyDescent="0.25">
      <c r="B19" t="s">
        <v>160</v>
      </c>
      <c r="C19" s="10">
        <f t="shared" ref="C19:N19" si="3">IF($O18&gt;0,C18/$O18,0)</f>
        <v>0</v>
      </c>
      <c r="D19" s="10">
        <f t="shared" si="3"/>
        <v>0</v>
      </c>
      <c r="E19" s="10">
        <f t="shared" si="3"/>
        <v>0</v>
      </c>
      <c r="F19" s="10">
        <f t="shared" si="3"/>
        <v>0</v>
      </c>
      <c r="G19" s="10">
        <f t="shared" si="3"/>
        <v>0</v>
      </c>
      <c r="H19" s="10">
        <f t="shared" si="3"/>
        <v>0</v>
      </c>
      <c r="I19" s="10">
        <f t="shared" si="3"/>
        <v>0</v>
      </c>
      <c r="J19" s="10">
        <f t="shared" si="3"/>
        <v>0</v>
      </c>
      <c r="K19" s="10">
        <f t="shared" si="3"/>
        <v>0</v>
      </c>
      <c r="L19" s="10">
        <f t="shared" si="3"/>
        <v>0</v>
      </c>
      <c r="M19" s="10">
        <f t="shared" si="3"/>
        <v>0</v>
      </c>
      <c r="N19" s="10">
        <f t="shared" si="3"/>
        <v>0</v>
      </c>
      <c r="O19" s="5">
        <f>SUM(C19:N19)</f>
        <v>0</v>
      </c>
    </row>
    <row r="20" spans="1:15" x14ac:dyDescent="0.25">
      <c r="B20" t="s">
        <v>159</v>
      </c>
      <c r="C20" s="68">
        <v>8.3299999999999999E-2</v>
      </c>
      <c r="D20" s="68">
        <v>8.3299999999999999E-2</v>
      </c>
      <c r="E20" s="68">
        <v>8.3299999999999999E-2</v>
      </c>
      <c r="F20" s="68">
        <v>8.3299999999999999E-2</v>
      </c>
      <c r="G20" s="68">
        <v>8.3299999999999999E-2</v>
      </c>
      <c r="H20" s="68">
        <v>8.3299999999999999E-2</v>
      </c>
      <c r="I20" s="68">
        <v>8.3299999999999999E-2</v>
      </c>
      <c r="J20" s="68">
        <v>8.3299999999999999E-2</v>
      </c>
      <c r="K20" s="68">
        <v>8.3299999999999999E-2</v>
      </c>
      <c r="L20" s="68">
        <v>8.3299999999999999E-2</v>
      </c>
      <c r="M20" s="68">
        <v>8.3299999999999999E-2</v>
      </c>
      <c r="N20" s="68">
        <f>1-SUM(C20:M20)</f>
        <v>8.3699999999999886E-2</v>
      </c>
      <c r="O20" s="5">
        <f>SUM(C20:N20)</f>
        <v>1</v>
      </c>
    </row>
    <row r="21" spans="1:15" x14ac:dyDescent="0.25">
      <c r="A21" t="str">
        <f>'Prior year summary'!A75</f>
        <v>Contract labor</v>
      </c>
      <c r="B21" t="s">
        <v>158</v>
      </c>
      <c r="C21" s="52"/>
      <c r="D21" s="52"/>
      <c r="E21" s="52"/>
      <c r="F21" s="52"/>
      <c r="G21" s="52"/>
      <c r="H21" s="52"/>
      <c r="I21" s="52"/>
      <c r="J21" s="52"/>
      <c r="K21" s="52"/>
      <c r="L21" s="52"/>
      <c r="M21" s="52"/>
      <c r="N21" s="52"/>
      <c r="O21" s="8">
        <f>'Prior year summary'!B75</f>
        <v>161021</v>
      </c>
    </row>
    <row r="22" spans="1:15" x14ac:dyDescent="0.25">
      <c r="B22" t="s">
        <v>160</v>
      </c>
      <c r="C22" s="10">
        <f t="shared" ref="C22:N22" si="4">IF($O21&gt;0,C21/$O21,0)</f>
        <v>0</v>
      </c>
      <c r="D22" s="10">
        <f t="shared" si="4"/>
        <v>0</v>
      </c>
      <c r="E22" s="10">
        <f t="shared" si="4"/>
        <v>0</v>
      </c>
      <c r="F22" s="10">
        <f t="shared" si="4"/>
        <v>0</v>
      </c>
      <c r="G22" s="10">
        <f t="shared" si="4"/>
        <v>0</v>
      </c>
      <c r="H22" s="10">
        <f t="shared" si="4"/>
        <v>0</v>
      </c>
      <c r="I22" s="10">
        <f t="shared" si="4"/>
        <v>0</v>
      </c>
      <c r="J22" s="10">
        <f t="shared" si="4"/>
        <v>0</v>
      </c>
      <c r="K22" s="10">
        <f t="shared" si="4"/>
        <v>0</v>
      </c>
      <c r="L22" s="10">
        <f t="shared" si="4"/>
        <v>0</v>
      </c>
      <c r="M22" s="10">
        <f t="shared" si="4"/>
        <v>0</v>
      </c>
      <c r="N22" s="10">
        <f t="shared" si="4"/>
        <v>0</v>
      </c>
      <c r="O22" s="5">
        <f>SUM(C22:N22)</f>
        <v>0</v>
      </c>
    </row>
    <row r="23" spans="1:15" x14ac:dyDescent="0.25">
      <c r="B23" t="s">
        <v>159</v>
      </c>
      <c r="C23" s="68">
        <v>8.3299999999999999E-2</v>
      </c>
      <c r="D23" s="68">
        <v>8.3299999999999999E-2</v>
      </c>
      <c r="E23" s="68">
        <v>8.3299999999999999E-2</v>
      </c>
      <c r="F23" s="68">
        <v>8.3299999999999999E-2</v>
      </c>
      <c r="G23" s="68">
        <v>8.3299999999999999E-2</v>
      </c>
      <c r="H23" s="68">
        <v>8.3299999999999999E-2</v>
      </c>
      <c r="I23" s="68">
        <v>8.3299999999999999E-2</v>
      </c>
      <c r="J23" s="68">
        <v>8.3299999999999999E-2</v>
      </c>
      <c r="K23" s="68">
        <v>8.3299999999999999E-2</v>
      </c>
      <c r="L23" s="68">
        <v>8.3299999999999999E-2</v>
      </c>
      <c r="M23" s="68">
        <v>8.3299999999999999E-2</v>
      </c>
      <c r="N23" s="68">
        <f>1-SUM(C23:M23)</f>
        <v>8.3699999999999886E-2</v>
      </c>
      <c r="O23" s="5">
        <f>SUM(C23:N23)</f>
        <v>1</v>
      </c>
    </row>
    <row r="24" spans="1:15" x14ac:dyDescent="0.25">
      <c r="A24" t="str">
        <f>'Prior year summary'!A76</f>
        <v>Comp absences</v>
      </c>
      <c r="B24" t="s">
        <v>158</v>
      </c>
      <c r="C24" s="52"/>
      <c r="D24" s="52"/>
      <c r="E24" s="52"/>
      <c r="F24" s="52"/>
      <c r="G24" s="52"/>
      <c r="H24" s="52"/>
      <c r="I24" s="52"/>
      <c r="J24" s="52"/>
      <c r="K24" s="52"/>
      <c r="L24" s="52"/>
      <c r="M24" s="52"/>
      <c r="N24" s="52"/>
      <c r="O24" s="8">
        <f>'Prior year summary'!B76</f>
        <v>54106</v>
      </c>
    </row>
    <row r="25" spans="1:15" x14ac:dyDescent="0.25">
      <c r="B25" t="s">
        <v>160</v>
      </c>
      <c r="C25" s="10">
        <f t="shared" ref="C25:N25" si="5">IF($O24&gt;0,C24/$O24,0)</f>
        <v>0</v>
      </c>
      <c r="D25" s="10">
        <f t="shared" si="5"/>
        <v>0</v>
      </c>
      <c r="E25" s="10">
        <f t="shared" si="5"/>
        <v>0</v>
      </c>
      <c r="F25" s="10">
        <f t="shared" si="5"/>
        <v>0</v>
      </c>
      <c r="G25" s="10">
        <f t="shared" si="5"/>
        <v>0</v>
      </c>
      <c r="H25" s="10">
        <f t="shared" si="5"/>
        <v>0</v>
      </c>
      <c r="I25" s="10">
        <f t="shared" si="5"/>
        <v>0</v>
      </c>
      <c r="J25" s="10">
        <f t="shared" si="5"/>
        <v>0</v>
      </c>
      <c r="K25" s="10">
        <f t="shared" si="5"/>
        <v>0</v>
      </c>
      <c r="L25" s="10">
        <f t="shared" si="5"/>
        <v>0</v>
      </c>
      <c r="M25" s="10">
        <f t="shared" si="5"/>
        <v>0</v>
      </c>
      <c r="N25" s="10">
        <f t="shared" si="5"/>
        <v>0</v>
      </c>
      <c r="O25" s="5">
        <f>SUM(C25:N25)</f>
        <v>0</v>
      </c>
    </row>
    <row r="26" spans="1:15" x14ac:dyDescent="0.25">
      <c r="B26" t="s">
        <v>159</v>
      </c>
      <c r="C26" s="68">
        <v>8.3299999999999999E-2</v>
      </c>
      <c r="D26" s="68">
        <v>8.3299999999999999E-2</v>
      </c>
      <c r="E26" s="68">
        <v>8.3299999999999999E-2</v>
      </c>
      <c r="F26" s="68">
        <v>8.3299999999999999E-2</v>
      </c>
      <c r="G26" s="68">
        <v>8.3299999999999999E-2</v>
      </c>
      <c r="H26" s="68">
        <v>8.3299999999999999E-2</v>
      </c>
      <c r="I26" s="68">
        <v>8.3299999999999999E-2</v>
      </c>
      <c r="J26" s="68">
        <v>8.3299999999999999E-2</v>
      </c>
      <c r="K26" s="68">
        <v>8.3299999999999999E-2</v>
      </c>
      <c r="L26" s="68">
        <v>8.3299999999999999E-2</v>
      </c>
      <c r="M26" s="68">
        <v>8.3299999999999999E-2</v>
      </c>
      <c r="N26" s="68">
        <f>1-SUM(C26:M26)</f>
        <v>8.3699999999999886E-2</v>
      </c>
      <c r="O26" s="5">
        <f>SUM(C26:N26)</f>
        <v>1</v>
      </c>
    </row>
    <row r="27" spans="1:15" x14ac:dyDescent="0.25">
      <c r="A27" t="str">
        <f>'Prior year summary'!A77</f>
        <v>Per exp 7</v>
      </c>
      <c r="B27" t="s">
        <v>158</v>
      </c>
      <c r="C27" s="52"/>
      <c r="D27" s="52"/>
      <c r="E27" s="52"/>
      <c r="F27" s="52"/>
      <c r="G27" s="52"/>
      <c r="H27" s="52"/>
      <c r="I27" s="52"/>
      <c r="J27" s="52"/>
      <c r="K27" s="52"/>
      <c r="L27" s="52"/>
      <c r="M27" s="52"/>
      <c r="N27" s="52"/>
      <c r="O27" s="8"/>
    </row>
    <row r="28" spans="1:15" x14ac:dyDescent="0.25">
      <c r="B28" t="s">
        <v>160</v>
      </c>
      <c r="C28" s="10">
        <f t="shared" ref="C28:N28" si="6">IF($O27&gt;0,C27/$O27,0)</f>
        <v>0</v>
      </c>
      <c r="D28" s="10">
        <f t="shared" si="6"/>
        <v>0</v>
      </c>
      <c r="E28" s="10">
        <f t="shared" si="6"/>
        <v>0</v>
      </c>
      <c r="F28" s="10">
        <f t="shared" si="6"/>
        <v>0</v>
      </c>
      <c r="G28" s="10">
        <f t="shared" si="6"/>
        <v>0</v>
      </c>
      <c r="H28" s="10">
        <f t="shared" si="6"/>
        <v>0</v>
      </c>
      <c r="I28" s="10">
        <f t="shared" si="6"/>
        <v>0</v>
      </c>
      <c r="J28" s="10">
        <f t="shared" si="6"/>
        <v>0</v>
      </c>
      <c r="K28" s="10">
        <f t="shared" si="6"/>
        <v>0</v>
      </c>
      <c r="L28" s="10">
        <f t="shared" si="6"/>
        <v>0</v>
      </c>
      <c r="M28" s="10">
        <f t="shared" si="6"/>
        <v>0</v>
      </c>
      <c r="N28" s="10">
        <f t="shared" si="6"/>
        <v>0</v>
      </c>
      <c r="O28" s="5">
        <f>SUM(C28:N28)</f>
        <v>0</v>
      </c>
    </row>
    <row r="29" spans="1:15" x14ac:dyDescent="0.25">
      <c r="B29" t="s">
        <v>159</v>
      </c>
      <c r="C29" s="68">
        <v>8.3299999999999999E-2</v>
      </c>
      <c r="D29" s="68">
        <v>8.3299999999999999E-2</v>
      </c>
      <c r="E29" s="68">
        <v>8.3299999999999999E-2</v>
      </c>
      <c r="F29" s="68">
        <v>8.3299999999999999E-2</v>
      </c>
      <c r="G29" s="68">
        <v>8.3299999999999999E-2</v>
      </c>
      <c r="H29" s="68">
        <v>8.3299999999999999E-2</v>
      </c>
      <c r="I29" s="68">
        <v>8.3299999999999999E-2</v>
      </c>
      <c r="J29" s="68">
        <v>8.3299999999999999E-2</v>
      </c>
      <c r="K29" s="68">
        <v>8.3299999999999999E-2</v>
      </c>
      <c r="L29" s="68">
        <v>8.3299999999999999E-2</v>
      </c>
      <c r="M29" s="68">
        <v>8.3299999999999999E-2</v>
      </c>
      <c r="N29" s="68">
        <f>1-SUM(C29:M29)</f>
        <v>8.3699999999999886E-2</v>
      </c>
      <c r="O29" s="5">
        <f>SUM(C29:N29)</f>
        <v>1</v>
      </c>
    </row>
    <row r="30" spans="1:15" x14ac:dyDescent="0.25">
      <c r="A30" s="2"/>
      <c r="B30" s="2"/>
      <c r="C30" s="2"/>
      <c r="D30" s="2"/>
      <c r="E30" s="2"/>
      <c r="F30" s="2"/>
      <c r="G30" s="2"/>
      <c r="H30" s="2"/>
      <c r="I30" s="2"/>
      <c r="J30" s="2"/>
      <c r="K30" s="2"/>
      <c r="L30" s="2"/>
      <c r="M30" s="2"/>
      <c r="N30" s="2"/>
      <c r="O30" s="9"/>
    </row>
    <row r="31" spans="1:15" x14ac:dyDescent="0.25">
      <c r="A31" s="2"/>
      <c r="B31" s="2"/>
      <c r="C31" s="7"/>
      <c r="D31" s="7"/>
      <c r="E31" s="7"/>
      <c r="F31" s="7"/>
      <c r="G31" s="7"/>
      <c r="H31" s="7"/>
      <c r="I31" s="7"/>
      <c r="J31" s="7"/>
      <c r="K31" s="7"/>
      <c r="L31" s="7"/>
      <c r="M31" s="7"/>
      <c r="N31" s="7"/>
      <c r="O31" s="7"/>
    </row>
    <row r="32" spans="1:15" x14ac:dyDescent="0.25">
      <c r="A32" s="2"/>
      <c r="B32" s="7"/>
      <c r="D32" s="7"/>
      <c r="E32" s="7"/>
      <c r="F32" s="7"/>
      <c r="G32" s="7"/>
      <c r="H32" s="7"/>
      <c r="I32" s="7"/>
      <c r="J32" s="7"/>
      <c r="K32" s="7"/>
      <c r="L32" s="7"/>
      <c r="M32" s="7"/>
      <c r="N32" s="7"/>
      <c r="O32" s="7"/>
    </row>
    <row r="33" spans="1:15" x14ac:dyDescent="0.25">
      <c r="A33" s="2"/>
      <c r="B33" s="2"/>
      <c r="C33" s="7"/>
      <c r="D33" s="7"/>
      <c r="E33" s="7"/>
      <c r="F33" s="7"/>
      <c r="G33" s="7"/>
      <c r="H33" s="7"/>
      <c r="I33" s="7"/>
      <c r="J33" s="7"/>
      <c r="K33" s="7"/>
      <c r="L33" s="7"/>
      <c r="M33" s="7"/>
      <c r="N33" s="7"/>
      <c r="O33" s="9"/>
    </row>
    <row r="34" spans="1:15" x14ac:dyDescent="0.25">
      <c r="A34" s="2"/>
      <c r="B34" s="2"/>
      <c r="C34" s="7"/>
      <c r="D34" s="7"/>
      <c r="E34" s="7"/>
      <c r="F34" s="7"/>
      <c r="G34" s="7"/>
      <c r="H34" s="7"/>
      <c r="I34" s="7"/>
      <c r="J34" s="7"/>
      <c r="K34" s="7"/>
      <c r="L34" s="7"/>
      <c r="M34" s="7"/>
      <c r="N34" s="7"/>
      <c r="O34" s="7"/>
    </row>
    <row r="35" spans="1:15" x14ac:dyDescent="0.25">
      <c r="A35" s="2"/>
      <c r="B35" s="2"/>
      <c r="C35" s="7"/>
      <c r="D35" s="7"/>
      <c r="E35" s="7"/>
      <c r="F35" s="7"/>
      <c r="G35" s="7"/>
      <c r="H35" s="7"/>
      <c r="I35" s="7"/>
      <c r="J35" s="7"/>
      <c r="K35" s="7"/>
      <c r="L35" s="7"/>
      <c r="M35" s="7"/>
      <c r="N35" s="7"/>
      <c r="O35" s="7"/>
    </row>
    <row r="36" spans="1:15" x14ac:dyDescent="0.25">
      <c r="A36" t="str">
        <f>'Prior year summary'!A80</f>
        <v>Depreciation</v>
      </c>
      <c r="B36" t="s">
        <v>158</v>
      </c>
      <c r="C36" s="52"/>
      <c r="D36" s="52"/>
      <c r="E36" s="52"/>
      <c r="F36" s="52"/>
      <c r="G36" s="52"/>
      <c r="H36" s="52"/>
      <c r="I36" s="52"/>
      <c r="J36" s="52"/>
      <c r="K36" s="52"/>
      <c r="L36" s="52"/>
      <c r="M36" s="52"/>
      <c r="N36" s="52"/>
      <c r="O36" s="8">
        <f>'Prior year summary'!B80</f>
        <v>590387</v>
      </c>
    </row>
    <row r="37" spans="1:15" x14ac:dyDescent="0.25">
      <c r="B37" t="s">
        <v>160</v>
      </c>
      <c r="C37" s="10">
        <f t="shared" ref="C37:N37" si="7">IF($O36&gt;0,C36/$O36,0)</f>
        <v>0</v>
      </c>
      <c r="D37" s="10">
        <f t="shared" si="7"/>
        <v>0</v>
      </c>
      <c r="E37" s="10">
        <f t="shared" si="7"/>
        <v>0</v>
      </c>
      <c r="F37" s="10">
        <f t="shared" si="7"/>
        <v>0</v>
      </c>
      <c r="G37" s="10">
        <f t="shared" si="7"/>
        <v>0</v>
      </c>
      <c r="H37" s="10">
        <f t="shared" si="7"/>
        <v>0</v>
      </c>
      <c r="I37" s="10">
        <f t="shared" si="7"/>
        <v>0</v>
      </c>
      <c r="J37" s="10">
        <f t="shared" si="7"/>
        <v>0</v>
      </c>
      <c r="K37" s="10">
        <f t="shared" si="7"/>
        <v>0</v>
      </c>
      <c r="L37" s="10">
        <f t="shared" si="7"/>
        <v>0</v>
      </c>
      <c r="M37" s="10">
        <f t="shared" si="7"/>
        <v>0</v>
      </c>
      <c r="N37" s="10">
        <f t="shared" si="7"/>
        <v>0</v>
      </c>
      <c r="O37" s="5">
        <f>SUM(C37:N37)</f>
        <v>0</v>
      </c>
    </row>
    <row r="38" spans="1:15" x14ac:dyDescent="0.25">
      <c r="B38" t="s">
        <v>159</v>
      </c>
      <c r="C38" s="75">
        <v>8.3299999999999999E-2</v>
      </c>
      <c r="D38" s="75">
        <v>8.3299999999999999E-2</v>
      </c>
      <c r="E38" s="75">
        <v>8.3299999999999999E-2</v>
      </c>
      <c r="F38" s="75">
        <v>8.3299999999999999E-2</v>
      </c>
      <c r="G38" s="75">
        <v>8.3299999999999999E-2</v>
      </c>
      <c r="H38" s="75">
        <v>8.3299999999999999E-2</v>
      </c>
      <c r="I38" s="75">
        <v>8.3299999999999999E-2</v>
      </c>
      <c r="J38" s="75">
        <v>8.3299999999999999E-2</v>
      </c>
      <c r="K38" s="75">
        <v>8.3299999999999999E-2</v>
      </c>
      <c r="L38" s="75">
        <v>8.3299999999999999E-2</v>
      </c>
      <c r="M38" s="75">
        <v>8.3299999999999999E-2</v>
      </c>
      <c r="N38" s="75">
        <f>1-SUM(C38:M38)</f>
        <v>8.3699999999999886E-2</v>
      </c>
      <c r="O38" s="5">
        <f>SUM(C38:N38)</f>
        <v>1</v>
      </c>
    </row>
    <row r="39" spans="1:15" x14ac:dyDescent="0.25">
      <c r="A39" t="str">
        <f>'Prior year summary'!A81</f>
        <v>Interest</v>
      </c>
      <c r="B39" t="s">
        <v>158</v>
      </c>
      <c r="C39" s="52"/>
      <c r="D39" s="52"/>
      <c r="E39" s="52"/>
      <c r="F39" s="52"/>
      <c r="G39" s="52"/>
      <c r="H39" s="52"/>
      <c r="I39" s="52"/>
      <c r="J39" s="52"/>
      <c r="K39" s="52"/>
      <c r="L39" s="52"/>
      <c r="M39" s="52"/>
      <c r="N39" s="52"/>
      <c r="O39" s="8">
        <f>'Prior year summary'!B81</f>
        <v>31508</v>
      </c>
    </row>
    <row r="40" spans="1:15" x14ac:dyDescent="0.25">
      <c r="B40" t="s">
        <v>160</v>
      </c>
      <c r="C40" s="10">
        <f t="shared" ref="C40:N40" si="8">IF($O39&gt;0,C39/$O39,0)</f>
        <v>0</v>
      </c>
      <c r="D40" s="10">
        <f t="shared" si="8"/>
        <v>0</v>
      </c>
      <c r="E40" s="10">
        <f t="shared" si="8"/>
        <v>0</v>
      </c>
      <c r="F40" s="10">
        <f t="shared" si="8"/>
        <v>0</v>
      </c>
      <c r="G40" s="10">
        <f t="shared" si="8"/>
        <v>0</v>
      </c>
      <c r="H40" s="10">
        <f t="shared" si="8"/>
        <v>0</v>
      </c>
      <c r="I40" s="10">
        <f t="shared" si="8"/>
        <v>0</v>
      </c>
      <c r="J40" s="10">
        <f t="shared" si="8"/>
        <v>0</v>
      </c>
      <c r="K40" s="10">
        <f t="shared" si="8"/>
        <v>0</v>
      </c>
      <c r="L40" s="10">
        <f t="shared" si="8"/>
        <v>0</v>
      </c>
      <c r="M40" s="10">
        <f t="shared" si="8"/>
        <v>0</v>
      </c>
      <c r="N40" s="10">
        <f t="shared" si="8"/>
        <v>0</v>
      </c>
      <c r="O40" s="5">
        <f>SUM(C40:N40)</f>
        <v>0</v>
      </c>
    </row>
    <row r="41" spans="1:15" x14ac:dyDescent="0.25">
      <c r="B41" t="s">
        <v>159</v>
      </c>
      <c r="C41" s="75">
        <v>8.3299999999999999E-2</v>
      </c>
      <c r="D41" s="75">
        <v>8.3299999999999999E-2</v>
      </c>
      <c r="E41" s="75">
        <v>8.3299999999999999E-2</v>
      </c>
      <c r="F41" s="75">
        <v>8.3299999999999999E-2</v>
      </c>
      <c r="G41" s="75">
        <v>8.3299999999999999E-2</v>
      </c>
      <c r="H41" s="75">
        <v>8.3299999999999999E-2</v>
      </c>
      <c r="I41" s="75">
        <v>8.3299999999999999E-2</v>
      </c>
      <c r="J41" s="75">
        <v>8.3299999999999999E-2</v>
      </c>
      <c r="K41" s="75">
        <v>8.3299999999999999E-2</v>
      </c>
      <c r="L41" s="75">
        <v>8.3299999999999999E-2</v>
      </c>
      <c r="M41" s="75">
        <v>8.3299999999999999E-2</v>
      </c>
      <c r="N41" s="75">
        <f>1-SUM(C41:M41)</f>
        <v>8.3699999999999886E-2</v>
      </c>
      <c r="O41" s="5">
        <f>SUM(C41:N41)</f>
        <v>1</v>
      </c>
    </row>
    <row r="42" spans="1:15" x14ac:dyDescent="0.25">
      <c r="A42" t="str">
        <f>'Prior year summary'!A82</f>
        <v>Property Tax</v>
      </c>
      <c r="B42" t="s">
        <v>158</v>
      </c>
      <c r="C42" s="52"/>
      <c r="D42" s="52"/>
      <c r="E42" s="52"/>
      <c r="F42" s="52"/>
      <c r="G42" s="52"/>
      <c r="H42" s="52"/>
      <c r="I42" s="52"/>
      <c r="J42" s="52"/>
      <c r="K42" s="52"/>
      <c r="L42" s="52"/>
      <c r="M42" s="52"/>
      <c r="N42" s="52"/>
      <c r="O42" s="8">
        <f>'Prior year summary'!B82</f>
        <v>118039</v>
      </c>
    </row>
    <row r="43" spans="1:15" x14ac:dyDescent="0.25">
      <c r="B43" t="s">
        <v>160</v>
      </c>
      <c r="C43" s="10">
        <f t="shared" ref="C43:N43" si="9">IF($O42&gt;0,C42/$O42,0)</f>
        <v>0</v>
      </c>
      <c r="D43" s="10">
        <f t="shared" si="9"/>
        <v>0</v>
      </c>
      <c r="E43" s="10">
        <f t="shared" si="9"/>
        <v>0</v>
      </c>
      <c r="F43" s="10">
        <f t="shared" si="9"/>
        <v>0</v>
      </c>
      <c r="G43" s="10">
        <f t="shared" si="9"/>
        <v>0</v>
      </c>
      <c r="H43" s="10">
        <f t="shared" si="9"/>
        <v>0</v>
      </c>
      <c r="I43" s="10">
        <f t="shared" si="9"/>
        <v>0</v>
      </c>
      <c r="J43" s="10">
        <f t="shared" si="9"/>
        <v>0</v>
      </c>
      <c r="K43" s="10">
        <f t="shared" si="9"/>
        <v>0</v>
      </c>
      <c r="L43" s="10">
        <f t="shared" si="9"/>
        <v>0</v>
      </c>
      <c r="M43" s="10">
        <f t="shared" si="9"/>
        <v>0</v>
      </c>
      <c r="N43" s="10">
        <f t="shared" si="9"/>
        <v>0</v>
      </c>
      <c r="O43" s="5">
        <f>SUM(C43:N43)</f>
        <v>0</v>
      </c>
    </row>
    <row r="44" spans="1:15" x14ac:dyDescent="0.25">
      <c r="B44" t="s">
        <v>159</v>
      </c>
      <c r="C44" s="75">
        <v>8.3299999999999999E-2</v>
      </c>
      <c r="D44" s="75">
        <v>8.3299999999999999E-2</v>
      </c>
      <c r="E44" s="75">
        <v>8.3299999999999999E-2</v>
      </c>
      <c r="F44" s="75">
        <v>8.3299999999999999E-2</v>
      </c>
      <c r="G44" s="75">
        <v>8.3299999999999999E-2</v>
      </c>
      <c r="H44" s="75">
        <v>8.3299999999999999E-2</v>
      </c>
      <c r="I44" s="75">
        <v>8.3299999999999999E-2</v>
      </c>
      <c r="J44" s="75">
        <v>8.3299999999999999E-2</v>
      </c>
      <c r="K44" s="75">
        <v>8.3299999999999999E-2</v>
      </c>
      <c r="L44" s="75">
        <v>8.3299999999999999E-2</v>
      </c>
      <c r="M44" s="75">
        <v>8.3299999999999999E-2</v>
      </c>
      <c r="N44" s="75">
        <f>1-SUM(C44:M44)</f>
        <v>8.3699999999999886E-2</v>
      </c>
      <c r="O44" s="5">
        <f>SUM(C44:N44)</f>
        <v>1</v>
      </c>
    </row>
    <row r="45" spans="1:15" x14ac:dyDescent="0.25">
      <c r="A45" t="str">
        <f>'Prior year summary'!A83</f>
        <v>Insurance</v>
      </c>
      <c r="B45" t="s">
        <v>158</v>
      </c>
      <c r="C45" s="52"/>
      <c r="D45" s="52"/>
      <c r="E45" s="52"/>
      <c r="F45" s="52"/>
      <c r="G45" s="52"/>
      <c r="H45" s="52"/>
      <c r="I45" s="52"/>
      <c r="J45" s="52"/>
      <c r="K45" s="52"/>
      <c r="L45" s="52"/>
      <c r="M45" s="52"/>
      <c r="N45" s="52"/>
      <c r="O45" s="8">
        <f>'Prior year summary'!B83</f>
        <v>207676</v>
      </c>
    </row>
    <row r="46" spans="1:15" x14ac:dyDescent="0.25">
      <c r="B46" t="s">
        <v>160</v>
      </c>
      <c r="C46" s="10">
        <f t="shared" ref="C46:N46" si="10">IF($O45&gt;0,C45/$O45,0)</f>
        <v>0</v>
      </c>
      <c r="D46" s="10">
        <f t="shared" si="10"/>
        <v>0</v>
      </c>
      <c r="E46" s="10">
        <f t="shared" si="10"/>
        <v>0</v>
      </c>
      <c r="F46" s="10">
        <f t="shared" si="10"/>
        <v>0</v>
      </c>
      <c r="G46" s="10">
        <f t="shared" si="10"/>
        <v>0</v>
      </c>
      <c r="H46" s="10">
        <f t="shared" si="10"/>
        <v>0</v>
      </c>
      <c r="I46" s="10">
        <f t="shared" si="10"/>
        <v>0</v>
      </c>
      <c r="J46" s="10">
        <f t="shared" si="10"/>
        <v>0</v>
      </c>
      <c r="K46" s="10">
        <f t="shared" si="10"/>
        <v>0</v>
      </c>
      <c r="L46" s="10">
        <f t="shared" si="10"/>
        <v>0</v>
      </c>
      <c r="M46" s="10">
        <f t="shared" si="10"/>
        <v>0</v>
      </c>
      <c r="N46" s="10">
        <f t="shared" si="10"/>
        <v>0</v>
      </c>
      <c r="O46" s="5">
        <f>SUM(C46:N46)</f>
        <v>0</v>
      </c>
    </row>
    <row r="47" spans="1:15" x14ac:dyDescent="0.25">
      <c r="B47" t="s">
        <v>159</v>
      </c>
      <c r="C47" s="75">
        <v>8.3299999999999999E-2</v>
      </c>
      <c r="D47" s="75">
        <v>8.3299999999999999E-2</v>
      </c>
      <c r="E47" s="75">
        <v>8.3299999999999999E-2</v>
      </c>
      <c r="F47" s="75">
        <v>8.3299999999999999E-2</v>
      </c>
      <c r="G47" s="75">
        <v>8.3299999999999999E-2</v>
      </c>
      <c r="H47" s="75">
        <v>8.3299999999999999E-2</v>
      </c>
      <c r="I47" s="75">
        <v>8.3299999999999999E-2</v>
      </c>
      <c r="J47" s="75">
        <v>8.3299999999999999E-2</v>
      </c>
      <c r="K47" s="75">
        <v>8.3299999999999999E-2</v>
      </c>
      <c r="L47" s="75">
        <v>8.3299999999999999E-2</v>
      </c>
      <c r="M47" s="75">
        <v>8.3299999999999999E-2</v>
      </c>
      <c r="N47" s="75">
        <f>1-SUM(C47:M47)</f>
        <v>8.3699999999999886E-2</v>
      </c>
      <c r="O47" s="5">
        <f>SUM(C47:N47)</f>
        <v>1</v>
      </c>
    </row>
    <row r="48" spans="1:15" x14ac:dyDescent="0.25">
      <c r="A48" t="str">
        <f>'Prior year summary'!A84</f>
        <v>Fixed 5</v>
      </c>
      <c r="B48" t="s">
        <v>158</v>
      </c>
      <c r="C48" s="52"/>
      <c r="D48" s="52"/>
      <c r="E48" s="52"/>
      <c r="F48" s="52"/>
      <c r="G48" s="52"/>
      <c r="H48" s="52"/>
      <c r="I48" s="52"/>
      <c r="J48" s="52"/>
      <c r="K48" s="52"/>
      <c r="L48" s="52"/>
      <c r="M48" s="52"/>
      <c r="N48" s="52"/>
      <c r="O48" s="8">
        <f>'Prior year summary'!B84</f>
        <v>0</v>
      </c>
    </row>
    <row r="49" spans="1:15" x14ac:dyDescent="0.25">
      <c r="B49" t="s">
        <v>160</v>
      </c>
      <c r="C49" s="10">
        <f t="shared" ref="C49:N49" si="11">IF($O48&gt;0,C48/$O48,0)</f>
        <v>0</v>
      </c>
      <c r="D49" s="10">
        <f t="shared" si="11"/>
        <v>0</v>
      </c>
      <c r="E49" s="10">
        <f t="shared" si="11"/>
        <v>0</v>
      </c>
      <c r="F49" s="10">
        <f t="shared" si="11"/>
        <v>0</v>
      </c>
      <c r="G49" s="10">
        <f t="shared" si="11"/>
        <v>0</v>
      </c>
      <c r="H49" s="10">
        <f t="shared" si="11"/>
        <v>0</v>
      </c>
      <c r="I49" s="10">
        <f t="shared" si="11"/>
        <v>0</v>
      </c>
      <c r="J49" s="10">
        <f t="shared" si="11"/>
        <v>0</v>
      </c>
      <c r="K49" s="10">
        <f t="shared" si="11"/>
        <v>0</v>
      </c>
      <c r="L49" s="10">
        <f t="shared" si="11"/>
        <v>0</v>
      </c>
      <c r="M49" s="10">
        <f t="shared" si="11"/>
        <v>0</v>
      </c>
      <c r="N49" s="10">
        <f t="shared" si="11"/>
        <v>0</v>
      </c>
      <c r="O49" s="5">
        <f>SUM(C49:N49)</f>
        <v>0</v>
      </c>
    </row>
    <row r="50" spans="1:15" x14ac:dyDescent="0.25">
      <c r="B50" t="s">
        <v>159</v>
      </c>
      <c r="C50" s="75">
        <v>8.3299999999999999E-2</v>
      </c>
      <c r="D50" s="75">
        <v>8.3299999999999999E-2</v>
      </c>
      <c r="E50" s="75">
        <v>8.3299999999999999E-2</v>
      </c>
      <c r="F50" s="75">
        <v>8.3299999999999999E-2</v>
      </c>
      <c r="G50" s="75">
        <v>8.3299999999999999E-2</v>
      </c>
      <c r="H50" s="75">
        <v>8.3299999999999999E-2</v>
      </c>
      <c r="I50" s="75">
        <v>8.3299999999999999E-2</v>
      </c>
      <c r="J50" s="75">
        <v>8.3299999999999999E-2</v>
      </c>
      <c r="K50" s="75">
        <v>8.3299999999999999E-2</v>
      </c>
      <c r="L50" s="75">
        <v>8.3299999999999999E-2</v>
      </c>
      <c r="M50" s="75">
        <v>8.3299999999999999E-2</v>
      </c>
      <c r="N50" s="75">
        <f>1-SUM(C50:M50)</f>
        <v>8.3699999999999886E-2</v>
      </c>
      <c r="O50" s="5">
        <f>SUM(C50:N50)</f>
        <v>1</v>
      </c>
    </row>
    <row r="51" spans="1:15" x14ac:dyDescent="0.25">
      <c r="A51" t="str">
        <f>'Prior year summary'!A85</f>
        <v>TOTAL FIXED</v>
      </c>
      <c r="B51" t="s">
        <v>158</v>
      </c>
      <c r="C51" s="52"/>
      <c r="D51" s="52"/>
      <c r="E51" s="52"/>
      <c r="F51" s="52"/>
      <c r="G51" s="52"/>
      <c r="H51" s="52"/>
      <c r="I51" s="52"/>
      <c r="J51" s="52"/>
      <c r="K51" s="52"/>
      <c r="L51" s="52"/>
      <c r="M51" s="52"/>
      <c r="N51" s="52"/>
      <c r="O51" s="8">
        <f>'Prior year summary'!B85</f>
        <v>947610</v>
      </c>
    </row>
    <row r="52" spans="1:15" x14ac:dyDescent="0.25">
      <c r="B52" t="s">
        <v>160</v>
      </c>
      <c r="C52" s="10">
        <f t="shared" ref="C52:N52" si="12">IF($O51&gt;0,C51/$O51,0)</f>
        <v>0</v>
      </c>
      <c r="D52" s="10">
        <f t="shared" si="12"/>
        <v>0</v>
      </c>
      <c r="E52" s="10">
        <f t="shared" si="12"/>
        <v>0</v>
      </c>
      <c r="F52" s="10">
        <f t="shared" si="12"/>
        <v>0</v>
      </c>
      <c r="G52" s="10">
        <f t="shared" si="12"/>
        <v>0</v>
      </c>
      <c r="H52" s="10">
        <f t="shared" si="12"/>
        <v>0</v>
      </c>
      <c r="I52" s="10">
        <f t="shared" si="12"/>
        <v>0</v>
      </c>
      <c r="J52" s="10">
        <f t="shared" si="12"/>
        <v>0</v>
      </c>
      <c r="K52" s="10">
        <f t="shared" si="12"/>
        <v>0</v>
      </c>
      <c r="L52" s="10">
        <f t="shared" si="12"/>
        <v>0</v>
      </c>
      <c r="M52" s="10">
        <f t="shared" si="12"/>
        <v>0</v>
      </c>
      <c r="N52" s="10">
        <f t="shared" si="12"/>
        <v>0</v>
      </c>
      <c r="O52" s="5">
        <f>SUM(C52:N52)</f>
        <v>0</v>
      </c>
    </row>
    <row r="53" spans="1:15" x14ac:dyDescent="0.25">
      <c r="B53" t="s">
        <v>159</v>
      </c>
      <c r="C53" s="75">
        <v>8.3299999999999999E-2</v>
      </c>
      <c r="D53" s="75">
        <v>8.3299999999999999E-2</v>
      </c>
      <c r="E53" s="75">
        <v>8.3299999999999999E-2</v>
      </c>
      <c r="F53" s="75">
        <v>8.3299999999999999E-2</v>
      </c>
      <c r="G53" s="75">
        <v>8.3299999999999999E-2</v>
      </c>
      <c r="H53" s="75">
        <v>8.3299999999999999E-2</v>
      </c>
      <c r="I53" s="75">
        <v>8.3299999999999999E-2</v>
      </c>
      <c r="J53" s="75">
        <v>8.3299999999999999E-2</v>
      </c>
      <c r="K53" s="75">
        <v>8.3299999999999999E-2</v>
      </c>
      <c r="L53" s="75">
        <v>8.3299999999999999E-2</v>
      </c>
      <c r="M53" s="75">
        <v>8.3299999999999999E-2</v>
      </c>
      <c r="N53" s="75">
        <f>1-SUM(C53:M53)</f>
        <v>8.3699999999999886E-2</v>
      </c>
      <c r="O53" s="5">
        <f>SUM(C53:N53)</f>
        <v>1</v>
      </c>
    </row>
    <row r="54" spans="1:15" x14ac:dyDescent="0.25">
      <c r="A54">
        <f>'Prior year summary'!A86</f>
        <v>0</v>
      </c>
      <c r="B54" t="s">
        <v>158</v>
      </c>
      <c r="C54" s="52"/>
      <c r="D54" s="52"/>
      <c r="E54" s="52"/>
      <c r="F54" s="52"/>
      <c r="G54" s="52"/>
      <c r="H54" s="52"/>
      <c r="I54" s="52"/>
      <c r="J54" s="52"/>
      <c r="K54" s="52"/>
      <c r="L54" s="52"/>
      <c r="M54" s="52"/>
      <c r="N54" s="52"/>
      <c r="O54" s="8">
        <f>'Prior year summary'!B86</f>
        <v>0</v>
      </c>
    </row>
    <row r="55" spans="1:15" x14ac:dyDescent="0.25">
      <c r="B55" t="s">
        <v>160</v>
      </c>
      <c r="C55" s="10">
        <f t="shared" ref="C55:N55" si="13">IF($O54&gt;0,C54/$O54,0)</f>
        <v>0</v>
      </c>
      <c r="D55" s="10">
        <f t="shared" si="13"/>
        <v>0</v>
      </c>
      <c r="E55" s="10">
        <f t="shared" si="13"/>
        <v>0</v>
      </c>
      <c r="F55" s="10">
        <f t="shared" si="13"/>
        <v>0</v>
      </c>
      <c r="G55" s="10">
        <f t="shared" si="13"/>
        <v>0</v>
      </c>
      <c r="H55" s="10">
        <f t="shared" si="13"/>
        <v>0</v>
      </c>
      <c r="I55" s="10">
        <f t="shared" si="13"/>
        <v>0</v>
      </c>
      <c r="J55" s="10">
        <f t="shared" si="13"/>
        <v>0</v>
      </c>
      <c r="K55" s="10">
        <f t="shared" si="13"/>
        <v>0</v>
      </c>
      <c r="L55" s="10">
        <f t="shared" si="13"/>
        <v>0</v>
      </c>
      <c r="M55" s="10">
        <f t="shared" si="13"/>
        <v>0</v>
      </c>
      <c r="N55" s="10">
        <f t="shared" si="13"/>
        <v>0</v>
      </c>
      <c r="O55" s="5">
        <f>SUM(C55:N55)</f>
        <v>0</v>
      </c>
    </row>
    <row r="56" spans="1:15" x14ac:dyDescent="0.25">
      <c r="B56" t="s">
        <v>159</v>
      </c>
      <c r="C56" s="75">
        <v>8.3299999999999999E-2</v>
      </c>
      <c r="D56" s="75">
        <v>8.3299999999999999E-2</v>
      </c>
      <c r="E56" s="75">
        <v>8.3299999999999999E-2</v>
      </c>
      <c r="F56" s="75">
        <v>8.3299999999999999E-2</v>
      </c>
      <c r="G56" s="75">
        <v>8.3299999999999999E-2</v>
      </c>
      <c r="H56" s="75">
        <v>8.3299999999999999E-2</v>
      </c>
      <c r="I56" s="75">
        <v>8.3299999999999999E-2</v>
      </c>
      <c r="J56" s="75">
        <v>8.3299999999999999E-2</v>
      </c>
      <c r="K56" s="75">
        <v>8.3299999999999999E-2</v>
      </c>
      <c r="L56" s="75">
        <v>8.3299999999999999E-2</v>
      </c>
      <c r="M56" s="75">
        <v>8.3299999999999999E-2</v>
      </c>
      <c r="N56" s="75">
        <f>1-SUM(C56:M56)</f>
        <v>8.3699999999999886E-2</v>
      </c>
      <c r="O56" s="5">
        <f>SUM(C56:N56)</f>
        <v>1</v>
      </c>
    </row>
    <row r="57" spans="1:15" x14ac:dyDescent="0.25">
      <c r="A57" t="str">
        <f>'Prior year summary'!A87</f>
        <v>Annual meeting</v>
      </c>
      <c r="B57" t="s">
        <v>158</v>
      </c>
      <c r="C57" s="52"/>
      <c r="D57" s="52"/>
      <c r="E57" s="52"/>
      <c r="F57" s="52"/>
      <c r="G57" s="52"/>
      <c r="H57" s="52"/>
      <c r="I57" s="52"/>
      <c r="J57" s="52"/>
      <c r="K57" s="52"/>
      <c r="L57" s="52"/>
      <c r="M57" s="52"/>
      <c r="N57" s="52"/>
      <c r="O57" s="8">
        <f>'Prior year summary'!B87</f>
        <v>9025</v>
      </c>
    </row>
    <row r="58" spans="1:15" x14ac:dyDescent="0.25">
      <c r="B58" t="s">
        <v>160</v>
      </c>
      <c r="C58" s="10">
        <f t="shared" ref="C58:N58" si="14">IF($O57&gt;0,C57/$O57,0)</f>
        <v>0</v>
      </c>
      <c r="D58" s="10">
        <f t="shared" si="14"/>
        <v>0</v>
      </c>
      <c r="E58" s="10">
        <f t="shared" si="14"/>
        <v>0</v>
      </c>
      <c r="F58" s="10">
        <f t="shared" si="14"/>
        <v>0</v>
      </c>
      <c r="G58" s="10">
        <f t="shared" si="14"/>
        <v>0</v>
      </c>
      <c r="H58" s="10">
        <f t="shared" si="14"/>
        <v>0</v>
      </c>
      <c r="I58" s="10">
        <f t="shared" si="14"/>
        <v>0</v>
      </c>
      <c r="J58" s="10">
        <f t="shared" si="14"/>
        <v>0</v>
      </c>
      <c r="K58" s="10">
        <f t="shared" si="14"/>
        <v>0</v>
      </c>
      <c r="L58" s="10">
        <f t="shared" si="14"/>
        <v>0</v>
      </c>
      <c r="M58" s="10">
        <f t="shared" si="14"/>
        <v>0</v>
      </c>
      <c r="N58" s="10">
        <f t="shared" si="14"/>
        <v>0</v>
      </c>
      <c r="O58" s="5">
        <f>SUM(C58:N58)</f>
        <v>0</v>
      </c>
    </row>
    <row r="59" spans="1:15" x14ac:dyDescent="0.25">
      <c r="B59" t="s">
        <v>159</v>
      </c>
      <c r="C59" s="75">
        <v>8.3299999999999999E-2</v>
      </c>
      <c r="D59" s="75">
        <v>8.3299999999999999E-2</v>
      </c>
      <c r="E59" s="75">
        <v>8.3299999999999999E-2</v>
      </c>
      <c r="F59" s="75">
        <v>8.3299999999999999E-2</v>
      </c>
      <c r="G59" s="75">
        <v>8.3299999999999999E-2</v>
      </c>
      <c r="H59" s="75">
        <v>8.3299999999999999E-2</v>
      </c>
      <c r="I59" s="75">
        <v>8.3299999999999999E-2</v>
      </c>
      <c r="J59" s="75">
        <v>8.3299999999999999E-2</v>
      </c>
      <c r="K59" s="75">
        <v>8.3299999999999999E-2</v>
      </c>
      <c r="L59" s="75">
        <v>8.3299999999999999E-2</v>
      </c>
      <c r="M59" s="75">
        <v>8.3299999999999999E-2</v>
      </c>
      <c r="N59" s="75">
        <f>1-SUM(C59:M59)</f>
        <v>8.3699999999999886E-2</v>
      </c>
      <c r="O59" s="5">
        <f>SUM(C59:N59)</f>
        <v>1</v>
      </c>
    </row>
    <row r="60" spans="1:15" x14ac:dyDescent="0.25">
      <c r="A60" t="str">
        <f>'Prior year summary'!A88</f>
        <v>Director fees</v>
      </c>
      <c r="B60" t="s">
        <v>158</v>
      </c>
      <c r="C60" s="52"/>
      <c r="D60" s="52"/>
      <c r="E60" s="52"/>
      <c r="F60" s="52"/>
      <c r="G60" s="52"/>
      <c r="H60" s="52"/>
      <c r="I60" s="52"/>
      <c r="J60" s="52"/>
      <c r="K60" s="52"/>
      <c r="L60" s="52"/>
      <c r="M60" s="52"/>
      <c r="N60" s="52"/>
      <c r="O60" s="8">
        <f>'Prior year summary'!B88</f>
        <v>8986</v>
      </c>
    </row>
    <row r="61" spans="1:15" x14ac:dyDescent="0.25">
      <c r="B61" t="s">
        <v>160</v>
      </c>
      <c r="C61" s="10">
        <f t="shared" ref="C61:N61" si="15">IF($O60&gt;0,C60/$O60,0)</f>
        <v>0</v>
      </c>
      <c r="D61" s="10">
        <f t="shared" si="15"/>
        <v>0</v>
      </c>
      <c r="E61" s="10">
        <f t="shared" si="15"/>
        <v>0</v>
      </c>
      <c r="F61" s="10">
        <f t="shared" si="15"/>
        <v>0</v>
      </c>
      <c r="G61" s="10">
        <f t="shared" si="15"/>
        <v>0</v>
      </c>
      <c r="H61" s="10">
        <f t="shared" si="15"/>
        <v>0</v>
      </c>
      <c r="I61" s="10">
        <f t="shared" si="15"/>
        <v>0</v>
      </c>
      <c r="J61" s="10">
        <f t="shared" si="15"/>
        <v>0</v>
      </c>
      <c r="K61" s="10">
        <f t="shared" si="15"/>
        <v>0</v>
      </c>
      <c r="L61" s="10">
        <f t="shared" si="15"/>
        <v>0</v>
      </c>
      <c r="M61" s="10">
        <f t="shared" si="15"/>
        <v>0</v>
      </c>
      <c r="N61" s="10">
        <f t="shared" si="15"/>
        <v>0</v>
      </c>
      <c r="O61" s="5">
        <f>SUM(C61:N61)</f>
        <v>0</v>
      </c>
    </row>
    <row r="62" spans="1:15" x14ac:dyDescent="0.25">
      <c r="B62" t="s">
        <v>159</v>
      </c>
      <c r="C62" s="75">
        <v>8.3299999999999999E-2</v>
      </c>
      <c r="D62" s="75">
        <v>8.3299999999999999E-2</v>
      </c>
      <c r="E62" s="75">
        <v>8.3299999999999999E-2</v>
      </c>
      <c r="F62" s="75">
        <v>8.3299999999999999E-2</v>
      </c>
      <c r="G62" s="75">
        <v>8.3299999999999999E-2</v>
      </c>
      <c r="H62" s="75">
        <v>8.3299999999999999E-2</v>
      </c>
      <c r="I62" s="75">
        <v>8.3299999999999999E-2</v>
      </c>
      <c r="J62" s="75">
        <v>8.3299999999999999E-2</v>
      </c>
      <c r="K62" s="75">
        <v>8.3299999999999999E-2</v>
      </c>
      <c r="L62" s="75">
        <v>8.3299999999999999E-2</v>
      </c>
      <c r="M62" s="75">
        <v>8.3299999999999999E-2</v>
      </c>
      <c r="N62" s="75">
        <f>1-SUM(C62:M62)</f>
        <v>8.3699999999999886E-2</v>
      </c>
      <c r="O62" s="5">
        <f>SUM(C62:N62)</f>
        <v>1</v>
      </c>
    </row>
    <row r="63" spans="1:15" x14ac:dyDescent="0.25">
      <c r="A63" t="str">
        <f>'Prior year summary'!A89</f>
        <v>Fuel</v>
      </c>
      <c r="B63" t="s">
        <v>158</v>
      </c>
      <c r="C63" s="52"/>
      <c r="D63" s="52"/>
      <c r="E63" s="52"/>
      <c r="F63" s="52"/>
      <c r="G63" s="52"/>
      <c r="H63" s="52"/>
      <c r="I63" s="52"/>
      <c r="J63" s="52"/>
      <c r="K63" s="52"/>
      <c r="L63" s="52"/>
      <c r="M63" s="52"/>
      <c r="N63" s="52"/>
      <c r="O63" s="8">
        <f>'Prior year summary'!B89</f>
        <v>371767</v>
      </c>
    </row>
    <row r="64" spans="1:15" x14ac:dyDescent="0.25">
      <c r="B64" t="s">
        <v>160</v>
      </c>
      <c r="C64" s="10">
        <f t="shared" ref="C64:N64" si="16">IF($O63&gt;0,C63/$O63,0)</f>
        <v>0</v>
      </c>
      <c r="D64" s="10">
        <f t="shared" si="16"/>
        <v>0</v>
      </c>
      <c r="E64" s="10">
        <f t="shared" si="16"/>
        <v>0</v>
      </c>
      <c r="F64" s="10">
        <f t="shared" si="16"/>
        <v>0</v>
      </c>
      <c r="G64" s="10">
        <f t="shared" si="16"/>
        <v>0</v>
      </c>
      <c r="H64" s="10">
        <f t="shared" si="16"/>
        <v>0</v>
      </c>
      <c r="I64" s="10">
        <f t="shared" si="16"/>
        <v>0</v>
      </c>
      <c r="J64" s="10">
        <f t="shared" si="16"/>
        <v>0</v>
      </c>
      <c r="K64" s="10">
        <f t="shared" si="16"/>
        <v>0</v>
      </c>
      <c r="L64" s="10">
        <f t="shared" si="16"/>
        <v>0</v>
      </c>
      <c r="M64" s="10">
        <f t="shared" si="16"/>
        <v>0</v>
      </c>
      <c r="N64" s="10">
        <f t="shared" si="16"/>
        <v>0</v>
      </c>
      <c r="O64" s="5">
        <f>SUM(C64:N64)</f>
        <v>0</v>
      </c>
    </row>
    <row r="65" spans="1:15" x14ac:dyDescent="0.25">
      <c r="B65" t="s">
        <v>159</v>
      </c>
      <c r="C65" s="75">
        <v>8.3299999999999999E-2</v>
      </c>
      <c r="D65" s="75">
        <v>8.3299999999999999E-2</v>
      </c>
      <c r="E65" s="75">
        <v>8.3299999999999999E-2</v>
      </c>
      <c r="F65" s="75">
        <v>8.3299999999999999E-2</v>
      </c>
      <c r="G65" s="75">
        <v>8.3299999999999999E-2</v>
      </c>
      <c r="H65" s="75">
        <v>8.3299999999999999E-2</v>
      </c>
      <c r="I65" s="75">
        <v>8.3299999999999999E-2</v>
      </c>
      <c r="J65" s="75">
        <v>8.3299999999999999E-2</v>
      </c>
      <c r="K65" s="75">
        <v>8.3299999999999999E-2</v>
      </c>
      <c r="L65" s="75">
        <v>8.3299999999999999E-2</v>
      </c>
      <c r="M65" s="75">
        <v>8.3299999999999999E-2</v>
      </c>
      <c r="N65" s="75">
        <f>1-SUM(C65:M65)</f>
        <v>8.3699999999999886E-2</v>
      </c>
      <c r="O65" s="5">
        <f>SUM(C65:N65)</f>
        <v>1</v>
      </c>
    </row>
    <row r="66" spans="1:15" x14ac:dyDescent="0.25">
      <c r="A66" t="str">
        <f>'Prior year summary'!A90</f>
        <v>Data</v>
      </c>
      <c r="B66" t="s">
        <v>158</v>
      </c>
      <c r="C66" s="52"/>
      <c r="D66" s="52"/>
      <c r="E66" s="52"/>
      <c r="F66" s="52"/>
      <c r="G66" s="52"/>
      <c r="H66" s="52"/>
      <c r="I66" s="52"/>
      <c r="J66" s="52"/>
      <c r="K66" s="52"/>
      <c r="L66" s="52"/>
      <c r="M66" s="52"/>
      <c r="N66" s="52"/>
      <c r="O66" s="8">
        <f>'Prior year summary'!B90</f>
        <v>26815</v>
      </c>
    </row>
    <row r="67" spans="1:15" x14ac:dyDescent="0.25">
      <c r="B67" t="s">
        <v>160</v>
      </c>
      <c r="C67" s="10">
        <f t="shared" ref="C67:N67" si="17">IF($O66&gt;0,C66/$O66,0)</f>
        <v>0</v>
      </c>
      <c r="D67" s="10">
        <f t="shared" si="17"/>
        <v>0</v>
      </c>
      <c r="E67" s="10">
        <f t="shared" si="17"/>
        <v>0</v>
      </c>
      <c r="F67" s="10">
        <f t="shared" si="17"/>
        <v>0</v>
      </c>
      <c r="G67" s="10">
        <f t="shared" si="17"/>
        <v>0</v>
      </c>
      <c r="H67" s="10">
        <f t="shared" si="17"/>
        <v>0</v>
      </c>
      <c r="I67" s="10">
        <f t="shared" si="17"/>
        <v>0</v>
      </c>
      <c r="J67" s="10">
        <f t="shared" si="17"/>
        <v>0</v>
      </c>
      <c r="K67" s="10">
        <f t="shared" si="17"/>
        <v>0</v>
      </c>
      <c r="L67" s="10">
        <f t="shared" si="17"/>
        <v>0</v>
      </c>
      <c r="M67" s="10">
        <f t="shared" si="17"/>
        <v>0</v>
      </c>
      <c r="N67" s="10">
        <f t="shared" si="17"/>
        <v>0</v>
      </c>
      <c r="O67" s="5">
        <f>SUM(C67:N67)</f>
        <v>0</v>
      </c>
    </row>
    <row r="68" spans="1:15" x14ac:dyDescent="0.25">
      <c r="B68" t="s">
        <v>159</v>
      </c>
      <c r="C68" s="75">
        <v>8.3299999999999999E-2</v>
      </c>
      <c r="D68" s="75">
        <v>8.3299999999999999E-2</v>
      </c>
      <c r="E68" s="75">
        <v>8.3299999999999999E-2</v>
      </c>
      <c r="F68" s="75">
        <v>8.3299999999999999E-2</v>
      </c>
      <c r="G68" s="75">
        <v>8.3299999999999999E-2</v>
      </c>
      <c r="H68" s="75">
        <v>8.3299999999999999E-2</v>
      </c>
      <c r="I68" s="75">
        <v>8.3299999999999999E-2</v>
      </c>
      <c r="J68" s="75">
        <v>8.3299999999999999E-2</v>
      </c>
      <c r="K68" s="75">
        <v>8.3299999999999999E-2</v>
      </c>
      <c r="L68" s="75">
        <v>8.3299999999999999E-2</v>
      </c>
      <c r="M68" s="75">
        <v>8.3299999999999999E-2</v>
      </c>
      <c r="N68" s="75">
        <f>1-SUM(C68:M68)</f>
        <v>8.3699999999999886E-2</v>
      </c>
      <c r="O68" s="5">
        <f>SUM(C68:N68)</f>
        <v>1</v>
      </c>
    </row>
    <row r="69" spans="1:15" x14ac:dyDescent="0.25">
      <c r="A69" t="str">
        <f>'Prior year summary'!A91</f>
        <v>Repairs</v>
      </c>
      <c r="B69" t="s">
        <v>158</v>
      </c>
      <c r="C69" s="52"/>
      <c r="D69" s="52"/>
      <c r="E69" s="52"/>
      <c r="F69" s="52"/>
      <c r="G69" s="52"/>
      <c r="H69" s="52"/>
      <c r="I69" s="52"/>
      <c r="J69" s="52"/>
      <c r="K69" s="52"/>
      <c r="L69" s="52"/>
      <c r="M69" s="52"/>
      <c r="N69" s="52"/>
      <c r="O69" s="8">
        <f>'Prior year summary'!B91</f>
        <v>1026843</v>
      </c>
    </row>
    <row r="70" spans="1:15" x14ac:dyDescent="0.25">
      <c r="B70" t="s">
        <v>160</v>
      </c>
      <c r="C70" s="10">
        <f t="shared" ref="C70:N70" si="18">IF($O69&gt;0,C69/$O69,0)</f>
        <v>0</v>
      </c>
      <c r="D70" s="10">
        <f t="shared" si="18"/>
        <v>0</v>
      </c>
      <c r="E70" s="10">
        <f t="shared" si="18"/>
        <v>0</v>
      </c>
      <c r="F70" s="10">
        <f t="shared" si="18"/>
        <v>0</v>
      </c>
      <c r="G70" s="10">
        <f t="shared" si="18"/>
        <v>0</v>
      </c>
      <c r="H70" s="10">
        <f t="shared" si="18"/>
        <v>0</v>
      </c>
      <c r="I70" s="10">
        <f t="shared" si="18"/>
        <v>0</v>
      </c>
      <c r="J70" s="10">
        <f t="shared" si="18"/>
        <v>0</v>
      </c>
      <c r="K70" s="10">
        <f t="shared" si="18"/>
        <v>0</v>
      </c>
      <c r="L70" s="10">
        <f t="shared" si="18"/>
        <v>0</v>
      </c>
      <c r="M70" s="10">
        <f t="shared" si="18"/>
        <v>0</v>
      </c>
      <c r="N70" s="10">
        <f t="shared" si="18"/>
        <v>0</v>
      </c>
      <c r="O70" s="5">
        <f>SUM(C70:N70)</f>
        <v>0</v>
      </c>
    </row>
    <row r="71" spans="1:15" x14ac:dyDescent="0.25">
      <c r="B71" t="s">
        <v>159</v>
      </c>
      <c r="C71" s="75">
        <v>8.3299999999999999E-2</v>
      </c>
      <c r="D71" s="75">
        <v>8.3299999999999999E-2</v>
      </c>
      <c r="E71" s="75">
        <v>8.3299999999999999E-2</v>
      </c>
      <c r="F71" s="75">
        <v>8.3299999999999999E-2</v>
      </c>
      <c r="G71" s="75">
        <v>8.3299999999999999E-2</v>
      </c>
      <c r="H71" s="75">
        <v>8.3299999999999999E-2</v>
      </c>
      <c r="I71" s="75">
        <v>8.3299999999999999E-2</v>
      </c>
      <c r="J71" s="75">
        <v>8.3299999999999999E-2</v>
      </c>
      <c r="K71" s="75">
        <v>8.3299999999999999E-2</v>
      </c>
      <c r="L71" s="75">
        <v>8.3299999999999999E-2</v>
      </c>
      <c r="M71" s="75">
        <v>8.3299999999999999E-2</v>
      </c>
      <c r="N71" s="75">
        <f>1-SUM(C71:M71)</f>
        <v>8.3699999999999886E-2</v>
      </c>
      <c r="O71" s="5">
        <f>SUM(C71:N71)</f>
        <v>1</v>
      </c>
    </row>
    <row r="72" spans="1:15" x14ac:dyDescent="0.25">
      <c r="A72" t="str">
        <f>'Prior year summary'!A92</f>
        <v>Other supplies</v>
      </c>
      <c r="B72" t="s">
        <v>158</v>
      </c>
      <c r="C72" s="52"/>
      <c r="D72" s="52"/>
      <c r="E72" s="52"/>
      <c r="F72" s="52"/>
      <c r="G72" s="52"/>
      <c r="H72" s="52"/>
      <c r="I72" s="52"/>
      <c r="J72" s="52"/>
      <c r="K72" s="52"/>
      <c r="L72" s="52"/>
      <c r="M72" s="52"/>
      <c r="N72" s="52"/>
      <c r="O72" s="8">
        <f>'Prior year summary'!B92</f>
        <v>16525</v>
      </c>
    </row>
    <row r="73" spans="1:15" x14ac:dyDescent="0.25">
      <c r="B73" t="s">
        <v>160</v>
      </c>
      <c r="C73" s="10">
        <f t="shared" ref="C73:N73" si="19">IF($O72&gt;0,C72/$O72,0)</f>
        <v>0</v>
      </c>
      <c r="D73" s="10">
        <f t="shared" si="19"/>
        <v>0</v>
      </c>
      <c r="E73" s="10">
        <f t="shared" si="19"/>
        <v>0</v>
      </c>
      <c r="F73" s="10">
        <f t="shared" si="19"/>
        <v>0</v>
      </c>
      <c r="G73" s="10">
        <f t="shared" si="19"/>
        <v>0</v>
      </c>
      <c r="H73" s="10">
        <f t="shared" si="19"/>
        <v>0</v>
      </c>
      <c r="I73" s="10">
        <f t="shared" si="19"/>
        <v>0</v>
      </c>
      <c r="J73" s="10">
        <f t="shared" si="19"/>
        <v>0</v>
      </c>
      <c r="K73" s="10">
        <f t="shared" si="19"/>
        <v>0</v>
      </c>
      <c r="L73" s="10">
        <f t="shared" si="19"/>
        <v>0</v>
      </c>
      <c r="M73" s="10">
        <f t="shared" si="19"/>
        <v>0</v>
      </c>
      <c r="N73" s="10">
        <f t="shared" si="19"/>
        <v>0</v>
      </c>
      <c r="O73" s="5">
        <f>SUM(C73:N73)</f>
        <v>0</v>
      </c>
    </row>
    <row r="74" spans="1:15" x14ac:dyDescent="0.25">
      <c r="B74" t="s">
        <v>159</v>
      </c>
      <c r="C74" s="75">
        <v>8.3299999999999999E-2</v>
      </c>
      <c r="D74" s="75">
        <v>8.3299999999999999E-2</v>
      </c>
      <c r="E74" s="75">
        <v>8.3299999999999999E-2</v>
      </c>
      <c r="F74" s="75">
        <v>8.3299999999999999E-2</v>
      </c>
      <c r="G74" s="75">
        <v>8.3299999999999999E-2</v>
      </c>
      <c r="H74" s="75">
        <v>8.3299999999999999E-2</v>
      </c>
      <c r="I74" s="75">
        <v>8.3299999999999999E-2</v>
      </c>
      <c r="J74" s="75">
        <v>8.3299999999999999E-2</v>
      </c>
      <c r="K74" s="75">
        <v>8.3299999999999999E-2</v>
      </c>
      <c r="L74" s="75">
        <v>8.3299999999999999E-2</v>
      </c>
      <c r="M74" s="75">
        <v>8.3299999999999999E-2</v>
      </c>
      <c r="N74" s="75">
        <f>1-SUM(C74:M74)</f>
        <v>8.3699999999999886E-2</v>
      </c>
      <c r="O74" s="5">
        <f>SUM(C74:N74)</f>
        <v>1</v>
      </c>
    </row>
    <row r="75" spans="1:15" x14ac:dyDescent="0.25">
      <c r="A75" t="str">
        <f>'Prior year summary'!A93</f>
        <v>Operatiing</v>
      </c>
      <c r="B75" t="s">
        <v>158</v>
      </c>
      <c r="C75" s="52"/>
      <c r="D75" s="52"/>
      <c r="E75" s="52"/>
      <c r="F75" s="52"/>
      <c r="G75" s="52"/>
      <c r="H75" s="52"/>
      <c r="I75" s="52"/>
      <c r="J75" s="52"/>
      <c r="K75" s="52"/>
      <c r="L75" s="52"/>
      <c r="M75" s="52"/>
      <c r="N75" s="52"/>
      <c r="O75" s="8">
        <f>'Prior year summary'!B93</f>
        <v>432930</v>
      </c>
    </row>
    <row r="76" spans="1:15" x14ac:dyDescent="0.25">
      <c r="B76" t="s">
        <v>160</v>
      </c>
      <c r="C76" s="10">
        <f t="shared" ref="C76:N76" si="20">IF($O75&gt;0,C75/$O75,0)</f>
        <v>0</v>
      </c>
      <c r="D76" s="10">
        <f t="shared" si="20"/>
        <v>0</v>
      </c>
      <c r="E76" s="10">
        <f t="shared" si="20"/>
        <v>0</v>
      </c>
      <c r="F76" s="10">
        <f t="shared" si="20"/>
        <v>0</v>
      </c>
      <c r="G76" s="10">
        <f t="shared" si="20"/>
        <v>0</v>
      </c>
      <c r="H76" s="10">
        <f t="shared" si="20"/>
        <v>0</v>
      </c>
      <c r="I76" s="10">
        <f t="shared" si="20"/>
        <v>0</v>
      </c>
      <c r="J76" s="10">
        <f t="shared" si="20"/>
        <v>0</v>
      </c>
      <c r="K76" s="10">
        <f t="shared" si="20"/>
        <v>0</v>
      </c>
      <c r="L76" s="10">
        <f t="shared" si="20"/>
        <v>0</v>
      </c>
      <c r="M76" s="10">
        <f t="shared" si="20"/>
        <v>0</v>
      </c>
      <c r="N76" s="10">
        <f t="shared" si="20"/>
        <v>0</v>
      </c>
      <c r="O76" s="5">
        <f>SUM(C76:N76)</f>
        <v>0</v>
      </c>
    </row>
    <row r="77" spans="1:15" x14ac:dyDescent="0.25">
      <c r="B77" t="s">
        <v>159</v>
      </c>
      <c r="C77" s="75">
        <v>8.3299999999999999E-2</v>
      </c>
      <c r="D77" s="75">
        <v>8.3299999999999999E-2</v>
      </c>
      <c r="E77" s="75">
        <v>8.3299999999999999E-2</v>
      </c>
      <c r="F77" s="75">
        <v>8.3299999999999999E-2</v>
      </c>
      <c r="G77" s="75">
        <v>8.3299999999999999E-2</v>
      </c>
      <c r="H77" s="75">
        <v>8.3299999999999999E-2</v>
      </c>
      <c r="I77" s="75">
        <v>8.3299999999999999E-2</v>
      </c>
      <c r="J77" s="75">
        <v>8.3299999999999999E-2</v>
      </c>
      <c r="K77" s="75">
        <v>8.3299999999999999E-2</v>
      </c>
      <c r="L77" s="75">
        <v>8.3299999999999999E-2</v>
      </c>
      <c r="M77" s="75">
        <v>8.3299999999999999E-2</v>
      </c>
      <c r="N77" s="75">
        <f>1-SUM(C77:M77)</f>
        <v>8.3699999999999886E-2</v>
      </c>
      <c r="O77" s="5">
        <f>SUM(C77:N77)</f>
        <v>1</v>
      </c>
    </row>
    <row r="78" spans="1:15" x14ac:dyDescent="0.25">
      <c r="A78" t="str">
        <f>'Prior year summary'!A94</f>
        <v>E8</v>
      </c>
      <c r="B78" t="s">
        <v>158</v>
      </c>
      <c r="C78" s="52"/>
      <c r="D78" s="52"/>
      <c r="E78" s="52"/>
      <c r="F78" s="52"/>
      <c r="G78" s="52"/>
      <c r="H78" s="52"/>
      <c r="I78" s="52"/>
      <c r="J78" s="52"/>
      <c r="K78" s="52"/>
      <c r="L78" s="52"/>
      <c r="M78" s="52"/>
      <c r="N78" s="52"/>
      <c r="O78" s="8">
        <f>'Prior year summary'!B94</f>
        <v>0</v>
      </c>
    </row>
    <row r="79" spans="1:15" x14ac:dyDescent="0.25">
      <c r="B79" t="s">
        <v>160</v>
      </c>
      <c r="C79" s="10">
        <f t="shared" ref="C79:N79" si="21">IF($O78&gt;0,C78/$O78,0)</f>
        <v>0</v>
      </c>
      <c r="D79" s="10">
        <f t="shared" si="21"/>
        <v>0</v>
      </c>
      <c r="E79" s="10">
        <f t="shared" si="21"/>
        <v>0</v>
      </c>
      <c r="F79" s="10">
        <f t="shared" si="21"/>
        <v>0</v>
      </c>
      <c r="G79" s="10">
        <f t="shared" si="21"/>
        <v>0</v>
      </c>
      <c r="H79" s="10">
        <f t="shared" si="21"/>
        <v>0</v>
      </c>
      <c r="I79" s="10">
        <f t="shared" si="21"/>
        <v>0</v>
      </c>
      <c r="J79" s="10">
        <f t="shared" si="21"/>
        <v>0</v>
      </c>
      <c r="K79" s="10">
        <f t="shared" si="21"/>
        <v>0</v>
      </c>
      <c r="L79" s="10">
        <f t="shared" si="21"/>
        <v>0</v>
      </c>
      <c r="M79" s="10">
        <f t="shared" si="21"/>
        <v>0</v>
      </c>
      <c r="N79" s="10">
        <f t="shared" si="21"/>
        <v>0</v>
      </c>
      <c r="O79" s="5">
        <f>SUM(C79:N79)</f>
        <v>0</v>
      </c>
    </row>
    <row r="80" spans="1:15" x14ac:dyDescent="0.25">
      <c r="B80" t="s">
        <v>159</v>
      </c>
      <c r="C80" s="75">
        <v>8.3299999999999999E-2</v>
      </c>
      <c r="D80" s="75">
        <v>8.3299999999999999E-2</v>
      </c>
      <c r="E80" s="75">
        <v>8.3299999999999999E-2</v>
      </c>
      <c r="F80" s="75">
        <v>8.3299999999999999E-2</v>
      </c>
      <c r="G80" s="75">
        <v>8.3299999999999999E-2</v>
      </c>
      <c r="H80" s="75">
        <v>8.3299999999999999E-2</v>
      </c>
      <c r="I80" s="75">
        <v>8.3299999999999999E-2</v>
      </c>
      <c r="J80" s="75">
        <v>8.3299999999999999E-2</v>
      </c>
      <c r="K80" s="75">
        <v>8.3299999999999999E-2</v>
      </c>
      <c r="L80" s="75">
        <v>8.3299999999999999E-2</v>
      </c>
      <c r="M80" s="75">
        <v>8.3299999999999999E-2</v>
      </c>
      <c r="N80" s="75">
        <f>1-SUM(C80:M80)</f>
        <v>8.3699999999999886E-2</v>
      </c>
      <c r="O80" s="5">
        <f>SUM(C80:N80)</f>
        <v>1</v>
      </c>
    </row>
    <row r="81" spans="1:15" x14ac:dyDescent="0.25">
      <c r="A81" t="str">
        <f>'Prior year summary'!A95</f>
        <v>E9</v>
      </c>
      <c r="B81" t="s">
        <v>158</v>
      </c>
      <c r="C81" s="52"/>
      <c r="D81" s="52"/>
      <c r="E81" s="52"/>
      <c r="F81" s="52"/>
      <c r="G81" s="52"/>
      <c r="H81" s="52"/>
      <c r="I81" s="52"/>
      <c r="J81" s="52"/>
      <c r="K81" s="52"/>
      <c r="L81" s="52"/>
      <c r="M81" s="52"/>
      <c r="N81" s="52"/>
      <c r="O81" s="8">
        <f>'Prior year summary'!B95</f>
        <v>0</v>
      </c>
    </row>
    <row r="82" spans="1:15" x14ac:dyDescent="0.25">
      <c r="B82" t="s">
        <v>160</v>
      </c>
      <c r="C82" s="10">
        <f t="shared" ref="C82:N82" si="22">IF($O81&gt;0,C81/$O81,0)</f>
        <v>0</v>
      </c>
      <c r="D82" s="10">
        <f t="shared" si="22"/>
        <v>0</v>
      </c>
      <c r="E82" s="10">
        <f t="shared" si="22"/>
        <v>0</v>
      </c>
      <c r="F82" s="10">
        <f t="shared" si="22"/>
        <v>0</v>
      </c>
      <c r="G82" s="10">
        <f t="shared" si="22"/>
        <v>0</v>
      </c>
      <c r="H82" s="10">
        <f t="shared" si="22"/>
        <v>0</v>
      </c>
      <c r="I82" s="10">
        <f t="shared" si="22"/>
        <v>0</v>
      </c>
      <c r="J82" s="10">
        <f t="shared" si="22"/>
        <v>0</v>
      </c>
      <c r="K82" s="10">
        <f t="shared" si="22"/>
        <v>0</v>
      </c>
      <c r="L82" s="10">
        <f t="shared" si="22"/>
        <v>0</v>
      </c>
      <c r="M82" s="10">
        <f t="shared" si="22"/>
        <v>0</v>
      </c>
      <c r="N82" s="10">
        <f t="shared" si="22"/>
        <v>0</v>
      </c>
      <c r="O82" s="5">
        <f>SUM(C82:N82)</f>
        <v>0</v>
      </c>
    </row>
    <row r="83" spans="1:15" x14ac:dyDescent="0.25">
      <c r="B83" t="s">
        <v>159</v>
      </c>
      <c r="C83" s="75">
        <v>8.3299999999999999E-2</v>
      </c>
      <c r="D83" s="75">
        <v>8.3299999999999999E-2</v>
      </c>
      <c r="E83" s="75">
        <v>8.3299999999999999E-2</v>
      </c>
      <c r="F83" s="75">
        <v>8.3299999999999999E-2</v>
      </c>
      <c r="G83" s="75">
        <v>8.3299999999999999E-2</v>
      </c>
      <c r="H83" s="75">
        <v>8.3299999999999999E-2</v>
      </c>
      <c r="I83" s="75">
        <v>8.3299999999999999E-2</v>
      </c>
      <c r="J83" s="75">
        <v>8.3299999999999999E-2</v>
      </c>
      <c r="K83" s="75">
        <v>8.3299999999999999E-2</v>
      </c>
      <c r="L83" s="75">
        <v>8.3299999999999999E-2</v>
      </c>
      <c r="M83" s="75">
        <v>8.3299999999999999E-2</v>
      </c>
      <c r="N83" s="75">
        <f>1-SUM(C83:M83)</f>
        <v>8.3699999999999886E-2</v>
      </c>
      <c r="O83" s="5">
        <f>SUM(C83:N83)</f>
        <v>1</v>
      </c>
    </row>
    <row r="84" spans="1:15" x14ac:dyDescent="0.25">
      <c r="A84" t="str">
        <f>'Prior year summary'!A96</f>
        <v>E10</v>
      </c>
      <c r="B84" t="s">
        <v>158</v>
      </c>
      <c r="C84" s="52"/>
      <c r="D84" s="52"/>
      <c r="E84" s="52"/>
      <c r="F84" s="52"/>
      <c r="G84" s="52"/>
      <c r="H84" s="52"/>
      <c r="I84" s="52"/>
      <c r="J84" s="52"/>
      <c r="K84" s="52"/>
      <c r="L84" s="52"/>
      <c r="M84" s="52"/>
      <c r="N84" s="52"/>
      <c r="O84" s="8">
        <f>'Prior year summary'!B96</f>
        <v>1E-3</v>
      </c>
    </row>
    <row r="85" spans="1:15" x14ac:dyDescent="0.25">
      <c r="B85" t="s">
        <v>160</v>
      </c>
      <c r="C85" s="10">
        <f t="shared" ref="C85:N85" si="23">IF($O84&gt;0,C84/$O84,0)</f>
        <v>0</v>
      </c>
      <c r="D85" s="10">
        <f t="shared" si="23"/>
        <v>0</v>
      </c>
      <c r="E85" s="10">
        <f t="shared" si="23"/>
        <v>0</v>
      </c>
      <c r="F85" s="10">
        <f t="shared" si="23"/>
        <v>0</v>
      </c>
      <c r="G85" s="10">
        <f t="shared" si="23"/>
        <v>0</v>
      </c>
      <c r="H85" s="10">
        <f t="shared" si="23"/>
        <v>0</v>
      </c>
      <c r="I85" s="10">
        <f t="shared" si="23"/>
        <v>0</v>
      </c>
      <c r="J85" s="10">
        <f t="shared" si="23"/>
        <v>0</v>
      </c>
      <c r="K85" s="10">
        <f t="shared" si="23"/>
        <v>0</v>
      </c>
      <c r="L85" s="10">
        <f t="shared" si="23"/>
        <v>0</v>
      </c>
      <c r="M85" s="10">
        <f t="shared" si="23"/>
        <v>0</v>
      </c>
      <c r="N85" s="10">
        <f t="shared" si="23"/>
        <v>0</v>
      </c>
      <c r="O85" s="5">
        <f>SUM(C85:N85)</f>
        <v>0</v>
      </c>
    </row>
    <row r="86" spans="1:15" x14ac:dyDescent="0.25">
      <c r="B86" t="s">
        <v>159</v>
      </c>
      <c r="C86" s="75">
        <v>8.3299999999999999E-2</v>
      </c>
      <c r="D86" s="75">
        <v>8.3299999999999999E-2</v>
      </c>
      <c r="E86" s="75">
        <v>8.3299999999999999E-2</v>
      </c>
      <c r="F86" s="75">
        <v>8.3299999999999999E-2</v>
      </c>
      <c r="G86" s="75">
        <v>8.3299999999999999E-2</v>
      </c>
      <c r="H86" s="75">
        <v>8.3299999999999999E-2</v>
      </c>
      <c r="I86" s="75">
        <v>8.3299999999999999E-2</v>
      </c>
      <c r="J86" s="75">
        <v>8.3299999999999999E-2</v>
      </c>
      <c r="K86" s="75">
        <v>8.3299999999999999E-2</v>
      </c>
      <c r="L86" s="75">
        <v>8.3299999999999999E-2</v>
      </c>
      <c r="M86" s="75">
        <v>8.3299999999999999E-2</v>
      </c>
      <c r="N86" s="75">
        <f>1-SUM(C86:M86)</f>
        <v>8.3699999999999886E-2</v>
      </c>
      <c r="O86" s="5">
        <f>SUM(C86:N86)</f>
        <v>1</v>
      </c>
    </row>
    <row r="87" spans="1:15" x14ac:dyDescent="0.25">
      <c r="A87" t="str">
        <f>'Prior year summary'!A97</f>
        <v>Utilities</v>
      </c>
      <c r="B87" t="s">
        <v>158</v>
      </c>
      <c r="C87" s="52"/>
      <c r="D87" s="52"/>
      <c r="E87" s="52"/>
      <c r="F87" s="52"/>
      <c r="G87" s="52"/>
      <c r="H87" s="52"/>
      <c r="I87" s="52"/>
      <c r="J87" s="52"/>
      <c r="K87" s="52"/>
      <c r="L87" s="52"/>
      <c r="M87" s="52"/>
      <c r="N87" s="52"/>
      <c r="O87" s="8">
        <f>'Prior year summary'!B97</f>
        <v>224795</v>
      </c>
    </row>
    <row r="88" spans="1:15" x14ac:dyDescent="0.25">
      <c r="B88" t="s">
        <v>160</v>
      </c>
      <c r="C88" s="10">
        <f t="shared" ref="C88:N88" si="24">IF($O87&gt;0,C87/$O87,0)</f>
        <v>0</v>
      </c>
      <c r="D88" s="10">
        <f t="shared" si="24"/>
        <v>0</v>
      </c>
      <c r="E88" s="10">
        <f t="shared" si="24"/>
        <v>0</v>
      </c>
      <c r="F88" s="10">
        <f t="shared" si="24"/>
        <v>0</v>
      </c>
      <c r="G88" s="10">
        <f t="shared" si="24"/>
        <v>0</v>
      </c>
      <c r="H88" s="10">
        <f t="shared" si="24"/>
        <v>0</v>
      </c>
      <c r="I88" s="10">
        <f t="shared" si="24"/>
        <v>0</v>
      </c>
      <c r="J88" s="10">
        <f t="shared" si="24"/>
        <v>0</v>
      </c>
      <c r="K88" s="10">
        <f t="shared" si="24"/>
        <v>0</v>
      </c>
      <c r="L88" s="10">
        <f t="shared" si="24"/>
        <v>0</v>
      </c>
      <c r="M88" s="10">
        <f t="shared" si="24"/>
        <v>0</v>
      </c>
      <c r="N88" s="10">
        <f t="shared" si="24"/>
        <v>0</v>
      </c>
      <c r="O88" s="5">
        <f>SUM(C88:N88)</f>
        <v>0</v>
      </c>
    </row>
    <row r="89" spans="1:15" x14ac:dyDescent="0.25">
      <c r="B89" t="s">
        <v>159</v>
      </c>
      <c r="C89" s="75">
        <v>8.3299999999999999E-2</v>
      </c>
      <c r="D89" s="75">
        <v>8.3299999999999999E-2</v>
      </c>
      <c r="E89" s="75">
        <v>8.3299999999999999E-2</v>
      </c>
      <c r="F89" s="75">
        <v>8.3299999999999999E-2</v>
      </c>
      <c r="G89" s="75">
        <v>8.3299999999999999E-2</v>
      </c>
      <c r="H89" s="75">
        <v>8.3299999999999999E-2</v>
      </c>
      <c r="I89" s="75">
        <v>8.3299999999999999E-2</v>
      </c>
      <c r="J89" s="75">
        <v>8.3299999999999999E-2</v>
      </c>
      <c r="K89" s="75">
        <v>8.3299999999999999E-2</v>
      </c>
      <c r="L89" s="75">
        <v>8.3299999999999999E-2</v>
      </c>
      <c r="M89" s="75">
        <v>8.3299999999999999E-2</v>
      </c>
      <c r="N89" s="75">
        <f>1-SUM(C89:M89)</f>
        <v>8.3699999999999886E-2</v>
      </c>
      <c r="O89" s="5">
        <f>SUM(C89:N89)</f>
        <v>1</v>
      </c>
    </row>
    <row r="90" spans="1:15" x14ac:dyDescent="0.25">
      <c r="A90" t="str">
        <f>'Prior year summary'!A98</f>
        <v>Educational</v>
      </c>
      <c r="B90" t="s">
        <v>158</v>
      </c>
      <c r="C90" s="52"/>
      <c r="D90" s="52"/>
      <c r="E90" s="52"/>
      <c r="F90" s="52"/>
      <c r="G90" s="52"/>
      <c r="H90" s="52"/>
      <c r="I90" s="52"/>
      <c r="J90" s="52"/>
      <c r="K90" s="52"/>
      <c r="L90" s="52"/>
      <c r="M90" s="52"/>
      <c r="N90" s="52"/>
      <c r="O90" s="8">
        <f>'Prior year summary'!F204</f>
        <v>0</v>
      </c>
    </row>
    <row r="91" spans="1:15" x14ac:dyDescent="0.25">
      <c r="B91" t="s">
        <v>160</v>
      </c>
      <c r="C91" s="10">
        <f t="shared" ref="C91:N91" si="25">IF($O90&gt;0,C90/$O90,0)</f>
        <v>0</v>
      </c>
      <c r="D91" s="10">
        <f t="shared" si="25"/>
        <v>0</v>
      </c>
      <c r="E91" s="10">
        <f t="shared" si="25"/>
        <v>0</v>
      </c>
      <c r="F91" s="10">
        <f t="shared" si="25"/>
        <v>0</v>
      </c>
      <c r="G91" s="10">
        <f t="shared" si="25"/>
        <v>0</v>
      </c>
      <c r="H91" s="10">
        <f t="shared" si="25"/>
        <v>0</v>
      </c>
      <c r="I91" s="10">
        <f t="shared" si="25"/>
        <v>0</v>
      </c>
      <c r="J91" s="10">
        <f t="shared" si="25"/>
        <v>0</v>
      </c>
      <c r="K91" s="10">
        <f t="shared" si="25"/>
        <v>0</v>
      </c>
      <c r="L91" s="10">
        <f t="shared" si="25"/>
        <v>0</v>
      </c>
      <c r="M91" s="10">
        <f t="shared" si="25"/>
        <v>0</v>
      </c>
      <c r="N91" s="10">
        <f t="shared" si="25"/>
        <v>0</v>
      </c>
      <c r="O91" s="5">
        <f>SUM(C91:N91)</f>
        <v>0</v>
      </c>
    </row>
    <row r="92" spans="1:15" x14ac:dyDescent="0.25">
      <c r="B92" t="s">
        <v>159</v>
      </c>
      <c r="C92" s="75">
        <v>8.3299999999999999E-2</v>
      </c>
      <c r="D92" s="75">
        <v>8.3299999999999999E-2</v>
      </c>
      <c r="E92" s="75">
        <v>8.3299999999999999E-2</v>
      </c>
      <c r="F92" s="75">
        <v>8.3299999999999999E-2</v>
      </c>
      <c r="G92" s="75">
        <v>8.3299999999999999E-2</v>
      </c>
      <c r="H92" s="75">
        <v>8.3299999999999999E-2</v>
      </c>
      <c r="I92" s="75">
        <v>8.3299999999999999E-2</v>
      </c>
      <c r="J92" s="75">
        <v>8.3299999999999999E-2</v>
      </c>
      <c r="K92" s="75">
        <v>8.3299999999999999E-2</v>
      </c>
      <c r="L92" s="75">
        <v>8.3299999999999999E-2</v>
      </c>
      <c r="M92" s="75">
        <v>8.3299999999999999E-2</v>
      </c>
      <c r="N92" s="75">
        <f>1-SUM(C92:M92)</f>
        <v>8.3699999999999886E-2</v>
      </c>
      <c r="O92" s="5">
        <f>SUM(C92:N92)</f>
        <v>1</v>
      </c>
    </row>
    <row r="93" spans="1:15" x14ac:dyDescent="0.25">
      <c r="A93" t="str">
        <f>'Prior year summary'!A99</f>
        <v>Telephone</v>
      </c>
      <c r="B93" t="s">
        <v>158</v>
      </c>
      <c r="C93" s="52"/>
      <c r="D93" s="52"/>
      <c r="E93" s="52"/>
      <c r="F93" s="52"/>
      <c r="G93" s="52"/>
      <c r="H93" s="52"/>
      <c r="I93" s="52"/>
      <c r="J93" s="52"/>
      <c r="K93" s="52"/>
      <c r="L93" s="52"/>
      <c r="M93" s="52"/>
      <c r="N93" s="52"/>
      <c r="O93" s="8">
        <f>'Prior year summary'!F205</f>
        <v>0</v>
      </c>
    </row>
    <row r="94" spans="1:15" x14ac:dyDescent="0.25">
      <c r="B94" t="s">
        <v>160</v>
      </c>
      <c r="C94" s="10">
        <f t="shared" ref="C94:N94" si="26">IF($O93&gt;0,C93/$O93,0)</f>
        <v>0</v>
      </c>
      <c r="D94" s="10">
        <f t="shared" si="26"/>
        <v>0</v>
      </c>
      <c r="E94" s="10">
        <f t="shared" si="26"/>
        <v>0</v>
      </c>
      <c r="F94" s="10">
        <f t="shared" si="26"/>
        <v>0</v>
      </c>
      <c r="G94" s="10">
        <f t="shared" si="26"/>
        <v>0</v>
      </c>
      <c r="H94" s="10">
        <f t="shared" si="26"/>
        <v>0</v>
      </c>
      <c r="I94" s="10">
        <f t="shared" si="26"/>
        <v>0</v>
      </c>
      <c r="J94" s="10">
        <f t="shared" si="26"/>
        <v>0</v>
      </c>
      <c r="K94" s="10">
        <f t="shared" si="26"/>
        <v>0</v>
      </c>
      <c r="L94" s="10">
        <f t="shared" si="26"/>
        <v>0</v>
      </c>
      <c r="M94" s="10">
        <f t="shared" si="26"/>
        <v>0</v>
      </c>
      <c r="N94" s="10">
        <f t="shared" si="26"/>
        <v>0</v>
      </c>
      <c r="O94" s="5">
        <f>SUM(C94:N94)</f>
        <v>0</v>
      </c>
    </row>
    <row r="95" spans="1:15" x14ac:dyDescent="0.25">
      <c r="B95" t="s">
        <v>159</v>
      </c>
      <c r="C95" s="75">
        <v>8.3299999999999999E-2</v>
      </c>
      <c r="D95" s="75">
        <v>8.3299999999999999E-2</v>
      </c>
      <c r="E95" s="75">
        <v>8.3299999999999999E-2</v>
      </c>
      <c r="F95" s="75">
        <v>8.3299999999999999E-2</v>
      </c>
      <c r="G95" s="75">
        <v>8.3299999999999999E-2</v>
      </c>
      <c r="H95" s="75">
        <v>8.3299999999999999E-2</v>
      </c>
      <c r="I95" s="75">
        <v>8.3299999999999999E-2</v>
      </c>
      <c r="J95" s="75">
        <v>8.3299999999999999E-2</v>
      </c>
      <c r="K95" s="75">
        <v>8.3299999999999999E-2</v>
      </c>
      <c r="L95" s="75">
        <v>8.3299999999999999E-2</v>
      </c>
      <c r="M95" s="75">
        <v>8.3299999999999999E-2</v>
      </c>
      <c r="N95" s="75">
        <f>1-SUM(C95:M95)</f>
        <v>8.3699999999999886E-2</v>
      </c>
      <c r="O95" s="5">
        <f>SUM(C95:N95)</f>
        <v>1</v>
      </c>
    </row>
    <row r="96" spans="1:15" x14ac:dyDescent="0.25">
      <c r="A96" t="str">
        <f>'Prior year summary'!A100</f>
        <v>Lic</v>
      </c>
      <c r="B96" t="s">
        <v>158</v>
      </c>
      <c r="C96" s="52"/>
      <c r="D96" s="52"/>
      <c r="E96" s="52"/>
      <c r="F96" s="52"/>
      <c r="G96" s="52"/>
      <c r="H96" s="52"/>
      <c r="I96" s="52"/>
      <c r="J96" s="52"/>
      <c r="K96" s="52"/>
      <c r="L96" s="52"/>
      <c r="M96" s="52"/>
      <c r="N96" s="52"/>
      <c r="O96" s="8">
        <f>'Prior year summary'!B100</f>
        <v>5230</v>
      </c>
    </row>
    <row r="97" spans="1:15" x14ac:dyDescent="0.25">
      <c r="B97" t="s">
        <v>160</v>
      </c>
      <c r="C97" s="10">
        <f t="shared" ref="C97:N97" si="27">IF($O96&gt;0,C96/$O96,0)</f>
        <v>0</v>
      </c>
      <c r="D97" s="10">
        <f t="shared" si="27"/>
        <v>0</v>
      </c>
      <c r="E97" s="10">
        <f t="shared" si="27"/>
        <v>0</v>
      </c>
      <c r="F97" s="10">
        <f t="shared" si="27"/>
        <v>0</v>
      </c>
      <c r="G97" s="10">
        <f t="shared" si="27"/>
        <v>0</v>
      </c>
      <c r="H97" s="10">
        <f t="shared" si="27"/>
        <v>0</v>
      </c>
      <c r="I97" s="10">
        <f t="shared" si="27"/>
        <v>0</v>
      </c>
      <c r="J97" s="10">
        <f t="shared" si="27"/>
        <v>0</v>
      </c>
      <c r="K97" s="10">
        <f t="shared" si="27"/>
        <v>0</v>
      </c>
      <c r="L97" s="10">
        <f t="shared" si="27"/>
        <v>0</v>
      </c>
      <c r="M97" s="10">
        <f t="shared" si="27"/>
        <v>0</v>
      </c>
      <c r="N97" s="10">
        <f t="shared" si="27"/>
        <v>0</v>
      </c>
      <c r="O97" s="5">
        <f>SUM(C97:N97)</f>
        <v>0</v>
      </c>
    </row>
    <row r="98" spans="1:15" x14ac:dyDescent="0.25">
      <c r="B98" t="s">
        <v>159</v>
      </c>
      <c r="C98" s="75">
        <v>8.3299999999999999E-2</v>
      </c>
      <c r="D98" s="75">
        <v>8.3299999999999999E-2</v>
      </c>
      <c r="E98" s="75">
        <v>8.3299999999999999E-2</v>
      </c>
      <c r="F98" s="75">
        <v>8.3299999999999999E-2</v>
      </c>
      <c r="G98" s="75">
        <v>8.3299999999999999E-2</v>
      </c>
      <c r="H98" s="75">
        <v>8.3299999999999999E-2</v>
      </c>
      <c r="I98" s="75">
        <v>8.3299999999999999E-2</v>
      </c>
      <c r="J98" s="75">
        <v>8.3299999999999999E-2</v>
      </c>
      <c r="K98" s="75">
        <v>8.3299999999999999E-2</v>
      </c>
      <c r="L98" s="75">
        <v>8.3299999999999999E-2</v>
      </c>
      <c r="M98" s="75">
        <v>8.3299999999999999E-2</v>
      </c>
      <c r="N98" s="75">
        <f>1-SUM(C98:M98)</f>
        <v>8.3699999999999886E-2</v>
      </c>
      <c r="O98" s="5">
        <f>SUM(C98:N98)</f>
        <v>1</v>
      </c>
    </row>
    <row r="99" spans="1:15" x14ac:dyDescent="0.25">
      <c r="A99" t="str">
        <f>'Prior year summary'!A101</f>
        <v>Audit</v>
      </c>
      <c r="B99" t="s">
        <v>158</v>
      </c>
      <c r="C99" s="52"/>
      <c r="D99" s="52"/>
      <c r="E99" s="52"/>
      <c r="F99" s="52"/>
      <c r="G99" s="52"/>
      <c r="H99" s="52"/>
      <c r="I99" s="52"/>
      <c r="J99" s="52"/>
      <c r="K99" s="52"/>
      <c r="L99" s="52"/>
      <c r="M99" s="52"/>
      <c r="N99" s="52"/>
      <c r="O99" s="8">
        <f>'Prior year summary'!B101</f>
        <v>29559</v>
      </c>
    </row>
    <row r="100" spans="1:15" x14ac:dyDescent="0.25">
      <c r="B100" t="s">
        <v>160</v>
      </c>
      <c r="C100" s="10">
        <f t="shared" ref="C100:N100" si="28">IF($O99&gt;0,C99/$O99,0)</f>
        <v>0</v>
      </c>
      <c r="D100" s="10">
        <f t="shared" si="28"/>
        <v>0</v>
      </c>
      <c r="E100" s="10">
        <f t="shared" si="28"/>
        <v>0</v>
      </c>
      <c r="F100" s="10">
        <f t="shared" si="28"/>
        <v>0</v>
      </c>
      <c r="G100" s="10">
        <f t="shared" si="28"/>
        <v>0</v>
      </c>
      <c r="H100" s="10">
        <f t="shared" si="28"/>
        <v>0</v>
      </c>
      <c r="I100" s="10">
        <f t="shared" si="28"/>
        <v>0</v>
      </c>
      <c r="J100" s="10">
        <f t="shared" si="28"/>
        <v>0</v>
      </c>
      <c r="K100" s="10">
        <f t="shared" si="28"/>
        <v>0</v>
      </c>
      <c r="L100" s="10">
        <f t="shared" si="28"/>
        <v>0</v>
      </c>
      <c r="M100" s="10">
        <f t="shared" si="28"/>
        <v>0</v>
      </c>
      <c r="N100" s="10">
        <f t="shared" si="28"/>
        <v>0</v>
      </c>
      <c r="O100" s="5">
        <f>SUM(C100:N100)</f>
        <v>0</v>
      </c>
    </row>
    <row r="101" spans="1:15" x14ac:dyDescent="0.25">
      <c r="B101" t="s">
        <v>159</v>
      </c>
      <c r="C101" s="75">
        <v>8.3299999999999999E-2</v>
      </c>
      <c r="D101" s="75">
        <v>8.3299999999999999E-2</v>
      </c>
      <c r="E101" s="75">
        <v>8.3299999999999999E-2</v>
      </c>
      <c r="F101" s="75">
        <v>8.3299999999999999E-2</v>
      </c>
      <c r="G101" s="75">
        <v>8.3299999999999999E-2</v>
      </c>
      <c r="H101" s="75">
        <v>8.3299999999999999E-2</v>
      </c>
      <c r="I101" s="75">
        <v>8.3299999999999999E-2</v>
      </c>
      <c r="J101" s="75">
        <v>8.3299999999999999E-2</v>
      </c>
      <c r="K101" s="75">
        <v>8.3299999999999999E-2</v>
      </c>
      <c r="L101" s="75">
        <v>8.3299999999999999E-2</v>
      </c>
      <c r="M101" s="75">
        <v>8.3299999999999999E-2</v>
      </c>
      <c r="N101" s="75">
        <f>1-SUM(C101:M101)</f>
        <v>8.3699999999999886E-2</v>
      </c>
      <c r="O101" s="5">
        <f>SUM(C101:N101)</f>
        <v>1</v>
      </c>
    </row>
    <row r="102" spans="1:15" x14ac:dyDescent="0.25">
      <c r="A102" t="str">
        <f>'Prior year summary'!A102</f>
        <v>Meal</v>
      </c>
      <c r="B102" t="s">
        <v>158</v>
      </c>
      <c r="C102" s="52"/>
      <c r="D102" s="52"/>
      <c r="E102" s="52"/>
      <c r="F102" s="52"/>
      <c r="G102" s="52"/>
      <c r="H102" s="52"/>
      <c r="I102" s="52"/>
      <c r="J102" s="52"/>
      <c r="K102" s="52"/>
      <c r="L102" s="52"/>
      <c r="M102" s="52"/>
      <c r="N102" s="52"/>
      <c r="O102" s="8">
        <f>'Prior year summary'!B102</f>
        <v>1426</v>
      </c>
    </row>
    <row r="103" spans="1:15" x14ac:dyDescent="0.25">
      <c r="B103" t="s">
        <v>160</v>
      </c>
      <c r="C103" s="10">
        <f t="shared" ref="C103:N103" si="29">IF($O102&gt;0,C102/$O102,0)</f>
        <v>0</v>
      </c>
      <c r="D103" s="10">
        <f t="shared" si="29"/>
        <v>0</v>
      </c>
      <c r="E103" s="10">
        <f t="shared" si="29"/>
        <v>0</v>
      </c>
      <c r="F103" s="10">
        <f t="shared" si="29"/>
        <v>0</v>
      </c>
      <c r="G103" s="10">
        <f t="shared" si="29"/>
        <v>0</v>
      </c>
      <c r="H103" s="10">
        <f t="shared" si="29"/>
        <v>0</v>
      </c>
      <c r="I103" s="10">
        <f t="shared" si="29"/>
        <v>0</v>
      </c>
      <c r="J103" s="10">
        <f t="shared" si="29"/>
        <v>0</v>
      </c>
      <c r="K103" s="10">
        <f t="shared" si="29"/>
        <v>0</v>
      </c>
      <c r="L103" s="10">
        <f t="shared" si="29"/>
        <v>0</v>
      </c>
      <c r="M103" s="10">
        <f t="shared" si="29"/>
        <v>0</v>
      </c>
      <c r="N103" s="10">
        <f t="shared" si="29"/>
        <v>0</v>
      </c>
      <c r="O103" s="5">
        <f>SUM(C103:N103)</f>
        <v>0</v>
      </c>
    </row>
    <row r="104" spans="1:15" x14ac:dyDescent="0.25">
      <c r="B104" t="s">
        <v>159</v>
      </c>
      <c r="C104" s="75">
        <v>8.3299999999999999E-2</v>
      </c>
      <c r="D104" s="75">
        <v>8.3299999999999999E-2</v>
      </c>
      <c r="E104" s="75">
        <v>8.3299999999999999E-2</v>
      </c>
      <c r="F104" s="75">
        <v>8.3299999999999999E-2</v>
      </c>
      <c r="G104" s="75">
        <v>8.3299999999999999E-2</v>
      </c>
      <c r="H104" s="75">
        <v>8.3299999999999999E-2</v>
      </c>
      <c r="I104" s="75">
        <v>8.3299999999999999E-2</v>
      </c>
      <c r="J104" s="75">
        <v>8.3299999999999999E-2</v>
      </c>
      <c r="K104" s="75">
        <v>8.3299999999999999E-2</v>
      </c>
      <c r="L104" s="75">
        <v>8.3299999999999999E-2</v>
      </c>
      <c r="M104" s="75">
        <v>8.3299999999999999E-2</v>
      </c>
      <c r="N104" s="75">
        <f>1-SUM(C104:M104)</f>
        <v>8.3699999999999886E-2</v>
      </c>
      <c r="O104" s="5">
        <f>SUM(C104:N104)</f>
        <v>1</v>
      </c>
    </row>
    <row r="105" spans="1:15" x14ac:dyDescent="0.25">
      <c r="A105" t="str">
        <f>'Prior year summary'!A103</f>
        <v>Advertising</v>
      </c>
      <c r="B105" t="s">
        <v>158</v>
      </c>
      <c r="C105" s="52"/>
      <c r="D105" s="52"/>
      <c r="E105" s="52"/>
      <c r="F105" s="52"/>
      <c r="G105" s="52"/>
      <c r="H105" s="52"/>
      <c r="I105" s="52"/>
      <c r="J105" s="52"/>
      <c r="K105" s="52"/>
      <c r="L105" s="52"/>
      <c r="M105" s="52"/>
      <c r="N105" s="52"/>
      <c r="O105" s="8">
        <f>'Prior year summary'!B103</f>
        <v>30420</v>
      </c>
    </row>
    <row r="106" spans="1:15" x14ac:dyDescent="0.25">
      <c r="B106" t="s">
        <v>160</v>
      </c>
      <c r="C106" s="10">
        <f t="shared" ref="C106:N106" si="30">IF($O105&gt;0,C105/$O105,0)</f>
        <v>0</v>
      </c>
      <c r="D106" s="10">
        <f t="shared" si="30"/>
        <v>0</v>
      </c>
      <c r="E106" s="10">
        <f t="shared" si="30"/>
        <v>0</v>
      </c>
      <c r="F106" s="10">
        <f t="shared" si="30"/>
        <v>0</v>
      </c>
      <c r="G106" s="10">
        <f t="shared" si="30"/>
        <v>0</v>
      </c>
      <c r="H106" s="10">
        <f t="shared" si="30"/>
        <v>0</v>
      </c>
      <c r="I106" s="10">
        <f t="shared" si="30"/>
        <v>0</v>
      </c>
      <c r="J106" s="10">
        <f t="shared" si="30"/>
        <v>0</v>
      </c>
      <c r="K106" s="10">
        <f t="shared" si="30"/>
        <v>0</v>
      </c>
      <c r="L106" s="10">
        <f t="shared" si="30"/>
        <v>0</v>
      </c>
      <c r="M106" s="10">
        <f t="shared" si="30"/>
        <v>0</v>
      </c>
      <c r="N106" s="10">
        <f t="shared" si="30"/>
        <v>0</v>
      </c>
      <c r="O106" s="5">
        <f>SUM(C106:N106)</f>
        <v>0</v>
      </c>
    </row>
    <row r="107" spans="1:15" x14ac:dyDescent="0.25">
      <c r="B107" t="s">
        <v>159</v>
      </c>
      <c r="C107" s="75">
        <v>8.3299999999999999E-2</v>
      </c>
      <c r="D107" s="75">
        <v>8.3299999999999999E-2</v>
      </c>
      <c r="E107" s="75">
        <v>8.3299999999999999E-2</v>
      </c>
      <c r="F107" s="75">
        <v>8.3299999999999999E-2</v>
      </c>
      <c r="G107" s="75">
        <v>8.3299999999999999E-2</v>
      </c>
      <c r="H107" s="75">
        <v>8.3299999999999999E-2</v>
      </c>
      <c r="I107" s="75">
        <v>8.3299999999999999E-2</v>
      </c>
      <c r="J107" s="75">
        <v>8.3299999999999999E-2</v>
      </c>
      <c r="K107" s="75">
        <v>8.3299999999999999E-2</v>
      </c>
      <c r="L107" s="75">
        <v>8.3299999999999999E-2</v>
      </c>
      <c r="M107" s="75">
        <v>8.3299999999999999E-2</v>
      </c>
      <c r="N107" s="75">
        <f>1-SUM(C107:M107)</f>
        <v>8.3699999999999886E-2</v>
      </c>
      <c r="O107" s="5">
        <f>SUM(C107:N107)</f>
        <v>1</v>
      </c>
    </row>
    <row r="108" spans="1:15" x14ac:dyDescent="0.25">
      <c r="A108" t="str">
        <f>'Prior year summary'!A104</f>
        <v>donations</v>
      </c>
      <c r="B108" t="s">
        <v>158</v>
      </c>
      <c r="C108" s="52"/>
      <c r="D108" s="52"/>
      <c r="E108" s="52"/>
      <c r="F108" s="52"/>
      <c r="G108" s="52"/>
      <c r="H108" s="52"/>
      <c r="I108" s="52"/>
      <c r="J108" s="52"/>
      <c r="K108" s="52"/>
      <c r="L108" s="52"/>
      <c r="M108" s="52"/>
      <c r="N108" s="52"/>
      <c r="O108" s="8">
        <f>'Prior year summary'!B104</f>
        <v>77441</v>
      </c>
    </row>
    <row r="109" spans="1:15" x14ac:dyDescent="0.25">
      <c r="B109" t="s">
        <v>160</v>
      </c>
      <c r="C109" s="10">
        <f t="shared" ref="C109:N109" si="31">IF($O108&gt;0,C108/$O108,0)</f>
        <v>0</v>
      </c>
      <c r="D109" s="10">
        <f t="shared" si="31"/>
        <v>0</v>
      </c>
      <c r="E109" s="10">
        <f t="shared" si="31"/>
        <v>0</v>
      </c>
      <c r="F109" s="10">
        <f t="shared" si="31"/>
        <v>0</v>
      </c>
      <c r="G109" s="10">
        <f t="shared" si="31"/>
        <v>0</v>
      </c>
      <c r="H109" s="10">
        <f t="shared" si="31"/>
        <v>0</v>
      </c>
      <c r="I109" s="10">
        <f t="shared" si="31"/>
        <v>0</v>
      </c>
      <c r="J109" s="10">
        <f t="shared" si="31"/>
        <v>0</v>
      </c>
      <c r="K109" s="10">
        <f t="shared" si="31"/>
        <v>0</v>
      </c>
      <c r="L109" s="10">
        <f t="shared" si="31"/>
        <v>0</v>
      </c>
      <c r="M109" s="10">
        <f t="shared" si="31"/>
        <v>0</v>
      </c>
      <c r="N109" s="10">
        <f t="shared" si="31"/>
        <v>0</v>
      </c>
      <c r="O109" s="5">
        <f>SUM(C109:N109)</f>
        <v>0</v>
      </c>
    </row>
    <row r="110" spans="1:15" x14ac:dyDescent="0.25">
      <c r="B110" t="s">
        <v>159</v>
      </c>
      <c r="C110" s="75">
        <v>8.3299999999999999E-2</v>
      </c>
      <c r="D110" s="75">
        <v>8.3299999999999999E-2</v>
      </c>
      <c r="E110" s="75">
        <v>8.3299999999999999E-2</v>
      </c>
      <c r="F110" s="75">
        <v>8.3299999999999999E-2</v>
      </c>
      <c r="G110" s="75">
        <v>8.3299999999999999E-2</v>
      </c>
      <c r="H110" s="75">
        <v>8.3299999999999999E-2</v>
      </c>
      <c r="I110" s="75">
        <v>8.3299999999999999E-2</v>
      </c>
      <c r="J110" s="75">
        <v>8.3299999999999999E-2</v>
      </c>
      <c r="K110" s="75">
        <v>8.3299999999999999E-2</v>
      </c>
      <c r="L110" s="75">
        <v>8.3299999999999999E-2</v>
      </c>
      <c r="M110" s="75">
        <v>8.3299999999999999E-2</v>
      </c>
      <c r="N110" s="75">
        <f>1-SUM(C110:M110)</f>
        <v>8.3699999999999886E-2</v>
      </c>
      <c r="O110" s="5">
        <f>SUM(C110:N110)</f>
        <v>1</v>
      </c>
    </row>
    <row r="111" spans="1:15" x14ac:dyDescent="0.25">
      <c r="A111" t="str">
        <f>'Prior year summary'!A105</f>
        <v>Meeting</v>
      </c>
      <c r="B111" t="s">
        <v>158</v>
      </c>
      <c r="C111" s="52"/>
      <c r="D111" s="52"/>
      <c r="E111" s="52"/>
      <c r="F111" s="52"/>
      <c r="G111" s="52"/>
      <c r="H111" s="52"/>
      <c r="I111" s="52"/>
      <c r="J111" s="52"/>
      <c r="K111" s="52"/>
      <c r="L111" s="52"/>
      <c r="M111" s="52"/>
      <c r="N111" s="52"/>
      <c r="O111" s="8">
        <f>'Prior year summary'!B105</f>
        <v>9889</v>
      </c>
    </row>
    <row r="112" spans="1:15" x14ac:dyDescent="0.25">
      <c r="B112" t="s">
        <v>160</v>
      </c>
      <c r="C112" s="10">
        <f t="shared" ref="C112:N112" si="32">IF($O111&gt;0,C111/$O111,0)</f>
        <v>0</v>
      </c>
      <c r="D112" s="10">
        <f t="shared" si="32"/>
        <v>0</v>
      </c>
      <c r="E112" s="10">
        <f t="shared" si="32"/>
        <v>0</v>
      </c>
      <c r="F112" s="10">
        <f t="shared" si="32"/>
        <v>0</v>
      </c>
      <c r="G112" s="10">
        <f t="shared" si="32"/>
        <v>0</v>
      </c>
      <c r="H112" s="10">
        <f t="shared" si="32"/>
        <v>0</v>
      </c>
      <c r="I112" s="10">
        <f t="shared" si="32"/>
        <v>0</v>
      </c>
      <c r="J112" s="10">
        <f t="shared" si="32"/>
        <v>0</v>
      </c>
      <c r="K112" s="10">
        <f t="shared" si="32"/>
        <v>0</v>
      </c>
      <c r="L112" s="10">
        <f t="shared" si="32"/>
        <v>0</v>
      </c>
      <c r="M112" s="10">
        <f t="shared" si="32"/>
        <v>0</v>
      </c>
      <c r="N112" s="10">
        <f t="shared" si="32"/>
        <v>0</v>
      </c>
      <c r="O112" s="5">
        <f>SUM(C112:N112)</f>
        <v>0</v>
      </c>
    </row>
    <row r="113" spans="1:15" x14ac:dyDescent="0.25">
      <c r="B113" t="s">
        <v>159</v>
      </c>
      <c r="C113" s="75">
        <v>8.3299999999999999E-2</v>
      </c>
      <c r="D113" s="75">
        <v>8.3299999999999999E-2</v>
      </c>
      <c r="E113" s="75">
        <v>8.3299999999999999E-2</v>
      </c>
      <c r="F113" s="75">
        <v>8.3299999999999999E-2</v>
      </c>
      <c r="G113" s="75">
        <v>8.3299999999999999E-2</v>
      </c>
      <c r="H113" s="75">
        <v>8.3299999999999999E-2</v>
      </c>
      <c r="I113" s="75">
        <v>8.3299999999999999E-2</v>
      </c>
      <c r="J113" s="75">
        <v>8.3299999999999999E-2</v>
      </c>
      <c r="K113" s="75">
        <v>8.3299999999999999E-2</v>
      </c>
      <c r="L113" s="75">
        <v>8.3299999999999999E-2</v>
      </c>
      <c r="M113" s="75">
        <v>8.3299999999999999E-2</v>
      </c>
      <c r="N113" s="75">
        <f>1-SUM(C113:M113)</f>
        <v>8.3699999999999886E-2</v>
      </c>
      <c r="O113" s="5">
        <f>SUM(C113:N113)</f>
        <v>1</v>
      </c>
    </row>
    <row r="114" spans="1:15" x14ac:dyDescent="0.25">
      <c r="A114" t="str">
        <f>'Prior year summary'!A106</f>
        <v>Dues</v>
      </c>
      <c r="B114" t="s">
        <v>158</v>
      </c>
      <c r="C114" s="52"/>
      <c r="D114" s="52"/>
      <c r="E114" s="52"/>
      <c r="F114" s="52"/>
      <c r="G114" s="52"/>
      <c r="H114" s="52"/>
      <c r="I114" s="52"/>
      <c r="J114" s="52"/>
      <c r="K114" s="52"/>
      <c r="L114" s="52"/>
      <c r="M114" s="52"/>
      <c r="N114" s="52"/>
      <c r="O114" s="8">
        <f>'Prior year summary'!B106</f>
        <v>20652</v>
      </c>
    </row>
    <row r="115" spans="1:15" x14ac:dyDescent="0.25">
      <c r="B115" t="s">
        <v>160</v>
      </c>
      <c r="C115" s="10">
        <f t="shared" ref="C115:N115" si="33">IF($O114&gt;0,C114/$O114,0)</f>
        <v>0</v>
      </c>
      <c r="D115" s="10">
        <f t="shared" si="33"/>
        <v>0</v>
      </c>
      <c r="E115" s="10">
        <f t="shared" si="33"/>
        <v>0</v>
      </c>
      <c r="F115" s="10">
        <f t="shared" si="33"/>
        <v>0</v>
      </c>
      <c r="G115" s="10">
        <f t="shared" si="33"/>
        <v>0</v>
      </c>
      <c r="H115" s="10">
        <f t="shared" si="33"/>
        <v>0</v>
      </c>
      <c r="I115" s="10">
        <f t="shared" si="33"/>
        <v>0</v>
      </c>
      <c r="J115" s="10">
        <f t="shared" si="33"/>
        <v>0</v>
      </c>
      <c r="K115" s="10">
        <f t="shared" si="33"/>
        <v>0</v>
      </c>
      <c r="L115" s="10">
        <f t="shared" si="33"/>
        <v>0</v>
      </c>
      <c r="M115" s="10">
        <f t="shared" si="33"/>
        <v>0</v>
      </c>
      <c r="N115" s="10">
        <f t="shared" si="33"/>
        <v>0</v>
      </c>
      <c r="O115" s="5">
        <f>SUM(C115:N115)</f>
        <v>0</v>
      </c>
    </row>
    <row r="116" spans="1:15" x14ac:dyDescent="0.25">
      <c r="B116" t="s">
        <v>159</v>
      </c>
      <c r="C116" s="75">
        <v>8.3299999999999999E-2</v>
      </c>
      <c r="D116" s="75">
        <v>8.3299999999999999E-2</v>
      </c>
      <c r="E116" s="75">
        <v>8.3299999999999999E-2</v>
      </c>
      <c r="F116" s="75">
        <v>8.3299999999999999E-2</v>
      </c>
      <c r="G116" s="75">
        <v>8.3299999999999999E-2</v>
      </c>
      <c r="H116" s="75">
        <v>8.3299999999999999E-2</v>
      </c>
      <c r="I116" s="75">
        <v>8.3299999999999999E-2</v>
      </c>
      <c r="J116" s="75">
        <v>8.3299999999999999E-2</v>
      </c>
      <c r="K116" s="75">
        <v>8.3299999999999999E-2</v>
      </c>
      <c r="L116" s="75">
        <v>8.3299999999999999E-2</v>
      </c>
      <c r="M116" s="75">
        <v>8.3299999999999999E-2</v>
      </c>
      <c r="N116" s="75">
        <f>1-SUM(C116:M116)</f>
        <v>8.3699999999999886E-2</v>
      </c>
      <c r="O116" s="5">
        <f>SUM(C116:N116)</f>
        <v>1</v>
      </c>
    </row>
    <row r="117" spans="1:15" x14ac:dyDescent="0.25">
      <c r="A117" t="str">
        <f>'Prior year summary'!A107</f>
        <v>Farm plan</v>
      </c>
      <c r="B117" t="s">
        <v>158</v>
      </c>
      <c r="C117" s="52"/>
      <c r="D117" s="52"/>
      <c r="E117" s="52"/>
      <c r="F117" s="52"/>
      <c r="G117" s="52"/>
      <c r="H117" s="52"/>
      <c r="I117" s="52"/>
      <c r="J117" s="52"/>
      <c r="K117" s="52"/>
      <c r="L117" s="52"/>
      <c r="M117" s="52"/>
      <c r="N117" s="52"/>
      <c r="O117" s="8">
        <f>'Prior year summary'!B107</f>
        <v>26662</v>
      </c>
    </row>
    <row r="118" spans="1:15" x14ac:dyDescent="0.25">
      <c r="B118" t="s">
        <v>160</v>
      </c>
      <c r="C118" s="10">
        <f t="shared" ref="C118:N118" si="34">IF($O117&gt;0,C117/$O117,0)</f>
        <v>0</v>
      </c>
      <c r="D118" s="10">
        <f t="shared" si="34"/>
        <v>0</v>
      </c>
      <c r="E118" s="10">
        <f t="shared" si="34"/>
        <v>0</v>
      </c>
      <c r="F118" s="10">
        <f t="shared" si="34"/>
        <v>0</v>
      </c>
      <c r="G118" s="10">
        <f t="shared" si="34"/>
        <v>0</v>
      </c>
      <c r="H118" s="10">
        <f t="shared" si="34"/>
        <v>0</v>
      </c>
      <c r="I118" s="10">
        <f t="shared" si="34"/>
        <v>0</v>
      </c>
      <c r="J118" s="10">
        <f t="shared" si="34"/>
        <v>0</v>
      </c>
      <c r="K118" s="10">
        <f t="shared" si="34"/>
        <v>0</v>
      </c>
      <c r="L118" s="10">
        <f t="shared" si="34"/>
        <v>0</v>
      </c>
      <c r="M118" s="10">
        <f t="shared" si="34"/>
        <v>0</v>
      </c>
      <c r="N118" s="10">
        <f t="shared" si="34"/>
        <v>0</v>
      </c>
      <c r="O118" s="5">
        <f>SUM(C118:N118)</f>
        <v>0</v>
      </c>
    </row>
    <row r="119" spans="1:15" x14ac:dyDescent="0.25">
      <c r="B119" t="s">
        <v>159</v>
      </c>
      <c r="C119" s="75">
        <v>8.3299999999999999E-2</v>
      </c>
      <c r="D119" s="75">
        <v>8.3299999999999999E-2</v>
      </c>
      <c r="E119" s="75">
        <v>8.3299999999999999E-2</v>
      </c>
      <c r="F119" s="75">
        <v>8.3299999999999999E-2</v>
      </c>
      <c r="G119" s="75">
        <v>8.3299999999999999E-2</v>
      </c>
      <c r="H119" s="75">
        <v>8.3299999999999999E-2</v>
      </c>
      <c r="I119" s="75">
        <v>8.3299999999999999E-2</v>
      </c>
      <c r="J119" s="75">
        <v>8.3299999999999999E-2</v>
      </c>
      <c r="K119" s="75">
        <v>8.3299999999999999E-2</v>
      </c>
      <c r="L119" s="75">
        <v>8.3299999999999999E-2</v>
      </c>
      <c r="M119" s="75">
        <v>8.3299999999999999E-2</v>
      </c>
      <c r="N119" s="75">
        <f>1-SUM(C119:M119)</f>
        <v>8.3699999999999886E-2</v>
      </c>
      <c r="O119" s="5">
        <f>SUM(C119:N119)</f>
        <v>1</v>
      </c>
    </row>
    <row r="120" spans="1:15" x14ac:dyDescent="0.25">
      <c r="A120" t="str">
        <f>'Prior year summary'!A108</f>
        <v>Travel</v>
      </c>
      <c r="B120" t="s">
        <v>158</v>
      </c>
      <c r="C120" s="52"/>
      <c r="D120" s="52"/>
      <c r="E120" s="52"/>
      <c r="F120" s="52"/>
      <c r="G120" s="52"/>
      <c r="H120" s="52"/>
      <c r="I120" s="52"/>
      <c r="J120" s="52"/>
      <c r="K120" s="52"/>
      <c r="L120" s="52"/>
      <c r="M120" s="52"/>
      <c r="N120" s="52"/>
      <c r="O120" s="8">
        <f>'Prior year summary'!B108</f>
        <v>5567</v>
      </c>
    </row>
    <row r="121" spans="1:15" x14ac:dyDescent="0.25">
      <c r="B121" t="s">
        <v>160</v>
      </c>
      <c r="C121" s="10">
        <f t="shared" ref="C121:N121" si="35">IF($O120&gt;0,C120/$O120,0)</f>
        <v>0</v>
      </c>
      <c r="D121" s="10">
        <f t="shared" si="35"/>
        <v>0</v>
      </c>
      <c r="E121" s="10">
        <f t="shared" si="35"/>
        <v>0</v>
      </c>
      <c r="F121" s="10">
        <f t="shared" si="35"/>
        <v>0</v>
      </c>
      <c r="G121" s="10">
        <f t="shared" si="35"/>
        <v>0</v>
      </c>
      <c r="H121" s="10">
        <f t="shared" si="35"/>
        <v>0</v>
      </c>
      <c r="I121" s="10">
        <f t="shared" si="35"/>
        <v>0</v>
      </c>
      <c r="J121" s="10">
        <f t="shared" si="35"/>
        <v>0</v>
      </c>
      <c r="K121" s="10">
        <f t="shared" si="35"/>
        <v>0</v>
      </c>
      <c r="L121" s="10">
        <f t="shared" si="35"/>
        <v>0</v>
      </c>
      <c r="M121" s="10">
        <f t="shared" si="35"/>
        <v>0</v>
      </c>
      <c r="N121" s="10">
        <f t="shared" si="35"/>
        <v>0</v>
      </c>
      <c r="O121" s="5">
        <f>SUM(C121:N121)</f>
        <v>0</v>
      </c>
    </row>
    <row r="122" spans="1:15" x14ac:dyDescent="0.25">
      <c r="B122" t="s">
        <v>159</v>
      </c>
      <c r="C122" s="75">
        <v>8.3299999999999999E-2</v>
      </c>
      <c r="D122" s="75">
        <v>8.3299999999999999E-2</v>
      </c>
      <c r="E122" s="75">
        <v>8.3299999999999999E-2</v>
      </c>
      <c r="F122" s="75">
        <v>8.3299999999999999E-2</v>
      </c>
      <c r="G122" s="75">
        <v>8.3299999999999999E-2</v>
      </c>
      <c r="H122" s="75">
        <v>8.3299999999999999E-2</v>
      </c>
      <c r="I122" s="75">
        <v>8.3299999999999999E-2</v>
      </c>
      <c r="J122" s="75">
        <v>8.3299999999999999E-2</v>
      </c>
      <c r="K122" s="75">
        <v>8.3299999999999999E-2</v>
      </c>
      <c r="L122" s="75">
        <v>8.3299999999999999E-2</v>
      </c>
      <c r="M122" s="75">
        <v>8.3299999999999999E-2</v>
      </c>
      <c r="N122" s="75">
        <f>1-SUM(C122:M122)</f>
        <v>8.3699999999999886E-2</v>
      </c>
      <c r="O122" s="5">
        <f>SUM(C122:N122)</f>
        <v>1</v>
      </c>
    </row>
    <row r="123" spans="1:15" x14ac:dyDescent="0.25">
      <c r="A123" t="str">
        <f>'Prior year summary'!A109</f>
        <v>Tags</v>
      </c>
      <c r="B123" t="s">
        <v>158</v>
      </c>
      <c r="C123" s="52"/>
      <c r="D123" s="52"/>
      <c r="E123" s="52"/>
      <c r="F123" s="52"/>
      <c r="G123" s="52"/>
      <c r="H123" s="52"/>
      <c r="I123" s="52"/>
      <c r="J123" s="52"/>
      <c r="K123" s="52"/>
      <c r="L123" s="52"/>
      <c r="M123" s="52"/>
      <c r="N123" s="52"/>
      <c r="O123" s="8">
        <f>'Prior year summary'!B109</f>
        <v>21266</v>
      </c>
    </row>
    <row r="124" spans="1:15" x14ac:dyDescent="0.25">
      <c r="B124" t="s">
        <v>160</v>
      </c>
      <c r="C124" s="10">
        <f t="shared" ref="C124:N124" si="36">IF($O123&gt;0,C123/$O123,0)</f>
        <v>0</v>
      </c>
      <c r="D124" s="10">
        <f t="shared" si="36"/>
        <v>0</v>
      </c>
      <c r="E124" s="10">
        <f t="shared" si="36"/>
        <v>0</v>
      </c>
      <c r="F124" s="10">
        <f t="shared" si="36"/>
        <v>0</v>
      </c>
      <c r="G124" s="10">
        <f t="shared" si="36"/>
        <v>0</v>
      </c>
      <c r="H124" s="10">
        <f t="shared" si="36"/>
        <v>0</v>
      </c>
      <c r="I124" s="10">
        <f t="shared" si="36"/>
        <v>0</v>
      </c>
      <c r="J124" s="10">
        <f t="shared" si="36"/>
        <v>0</v>
      </c>
      <c r="K124" s="10">
        <f t="shared" si="36"/>
        <v>0</v>
      </c>
      <c r="L124" s="10">
        <f t="shared" si="36"/>
        <v>0</v>
      </c>
      <c r="M124" s="10">
        <f t="shared" si="36"/>
        <v>0</v>
      </c>
      <c r="N124" s="10">
        <f t="shared" si="36"/>
        <v>0</v>
      </c>
      <c r="O124" s="5">
        <f>SUM(C124:N124)</f>
        <v>0</v>
      </c>
    </row>
    <row r="125" spans="1:15" x14ac:dyDescent="0.25">
      <c r="B125" t="s">
        <v>159</v>
      </c>
      <c r="C125" s="75">
        <v>8.3299999999999999E-2</v>
      </c>
      <c r="D125" s="75">
        <v>8.3299999999999999E-2</v>
      </c>
      <c r="E125" s="75">
        <v>8.3299999999999999E-2</v>
      </c>
      <c r="F125" s="75">
        <v>8.3299999999999999E-2</v>
      </c>
      <c r="G125" s="75">
        <v>8.3299999999999999E-2</v>
      </c>
      <c r="H125" s="75">
        <v>8.3299999999999999E-2</v>
      </c>
      <c r="I125" s="75">
        <v>8.3299999999999999E-2</v>
      </c>
      <c r="J125" s="75">
        <v>8.3299999999999999E-2</v>
      </c>
      <c r="K125" s="75">
        <v>8.3299999999999999E-2</v>
      </c>
      <c r="L125" s="75">
        <v>8.3299999999999999E-2</v>
      </c>
      <c r="M125" s="75">
        <v>8.3299999999999999E-2</v>
      </c>
      <c r="N125" s="75">
        <f>1-SUM(C125:M125)</f>
        <v>8.3699999999999886E-2</v>
      </c>
      <c r="O125" s="5">
        <f>SUM(C125:N125)</f>
        <v>1</v>
      </c>
    </row>
    <row r="126" spans="1:15" x14ac:dyDescent="0.25">
      <c r="A126" t="str">
        <f>'Prior year summary'!A110</f>
        <v>Lease</v>
      </c>
      <c r="B126" t="s">
        <v>158</v>
      </c>
      <c r="C126" s="52"/>
      <c r="D126" s="52"/>
      <c r="E126" s="52"/>
      <c r="F126" s="52"/>
      <c r="G126" s="52"/>
      <c r="H126" s="52"/>
      <c r="I126" s="52"/>
      <c r="J126" s="52"/>
      <c r="K126" s="52"/>
      <c r="L126" s="52"/>
      <c r="M126" s="52"/>
      <c r="N126" s="52"/>
      <c r="O126" s="8">
        <f>'Prior year summary'!B110</f>
        <v>34093</v>
      </c>
    </row>
    <row r="127" spans="1:15" x14ac:dyDescent="0.25">
      <c r="B127" t="s">
        <v>160</v>
      </c>
      <c r="C127" s="10">
        <f t="shared" ref="C127:N127" si="37">IF($O126&gt;0,C126/$O126,0)</f>
        <v>0</v>
      </c>
      <c r="D127" s="10">
        <f t="shared" si="37"/>
        <v>0</v>
      </c>
      <c r="E127" s="10">
        <f t="shared" si="37"/>
        <v>0</v>
      </c>
      <c r="F127" s="10">
        <f t="shared" si="37"/>
        <v>0</v>
      </c>
      <c r="G127" s="10">
        <f t="shared" si="37"/>
        <v>0</v>
      </c>
      <c r="H127" s="10">
        <f t="shared" si="37"/>
        <v>0</v>
      </c>
      <c r="I127" s="10">
        <f t="shared" si="37"/>
        <v>0</v>
      </c>
      <c r="J127" s="10">
        <f t="shared" si="37"/>
        <v>0</v>
      </c>
      <c r="K127" s="10">
        <f t="shared" si="37"/>
        <v>0</v>
      </c>
      <c r="L127" s="10">
        <f t="shared" si="37"/>
        <v>0</v>
      </c>
      <c r="M127" s="10">
        <f t="shared" si="37"/>
        <v>0</v>
      </c>
      <c r="N127" s="10">
        <f t="shared" si="37"/>
        <v>0</v>
      </c>
      <c r="O127" s="5">
        <f>SUM(C127:N127)</f>
        <v>0</v>
      </c>
    </row>
    <row r="128" spans="1:15" x14ac:dyDescent="0.25">
      <c r="B128" t="s">
        <v>159</v>
      </c>
      <c r="C128" s="75">
        <v>8.3299999999999999E-2</v>
      </c>
      <c r="D128" s="75">
        <v>8.3299999999999999E-2</v>
      </c>
      <c r="E128" s="75">
        <v>8.3299999999999999E-2</v>
      </c>
      <c r="F128" s="75">
        <v>8.3299999999999999E-2</v>
      </c>
      <c r="G128" s="75">
        <v>8.3299999999999999E-2</v>
      </c>
      <c r="H128" s="75">
        <v>8.3299999999999999E-2</v>
      </c>
      <c r="I128" s="75">
        <v>8.3299999999999999E-2</v>
      </c>
      <c r="J128" s="75">
        <v>8.3299999999999999E-2</v>
      </c>
      <c r="K128" s="75">
        <v>8.3299999999999999E-2</v>
      </c>
      <c r="L128" s="75">
        <v>8.3299999999999999E-2</v>
      </c>
      <c r="M128" s="75">
        <v>8.3299999999999999E-2</v>
      </c>
      <c r="N128" s="75">
        <f>1-SUM(C128:M128)</f>
        <v>8.3699999999999886E-2</v>
      </c>
      <c r="O128" s="5">
        <f>SUM(C128:N128)</f>
        <v>1</v>
      </c>
    </row>
    <row r="129" spans="1:15" x14ac:dyDescent="0.25">
      <c r="A129" t="str">
        <f>'Prior year summary'!A111</f>
        <v>Mkt service</v>
      </c>
      <c r="B129" t="s">
        <v>158</v>
      </c>
      <c r="C129" s="52"/>
      <c r="D129" s="52"/>
      <c r="E129" s="52"/>
      <c r="F129" s="52"/>
      <c r="G129" s="52"/>
      <c r="H129" s="52"/>
      <c r="I129" s="52"/>
      <c r="J129" s="52"/>
      <c r="K129" s="52"/>
      <c r="L129" s="52"/>
      <c r="M129" s="52"/>
      <c r="N129" s="52"/>
      <c r="O129" s="8">
        <f>'Prior year summary'!B111</f>
        <v>11223</v>
      </c>
    </row>
    <row r="130" spans="1:15" x14ac:dyDescent="0.25">
      <c r="B130" t="s">
        <v>160</v>
      </c>
      <c r="C130" s="10">
        <f t="shared" ref="C130:N130" si="38">IF($O129&gt;0,C129/$O129,0)</f>
        <v>0</v>
      </c>
      <c r="D130" s="10">
        <f t="shared" si="38"/>
        <v>0</v>
      </c>
      <c r="E130" s="10">
        <f t="shared" si="38"/>
        <v>0</v>
      </c>
      <c r="F130" s="10">
        <f t="shared" si="38"/>
        <v>0</v>
      </c>
      <c r="G130" s="10">
        <f t="shared" si="38"/>
        <v>0</v>
      </c>
      <c r="H130" s="10">
        <f t="shared" si="38"/>
        <v>0</v>
      </c>
      <c r="I130" s="10">
        <f t="shared" si="38"/>
        <v>0</v>
      </c>
      <c r="J130" s="10">
        <f t="shared" si="38"/>
        <v>0</v>
      </c>
      <c r="K130" s="10">
        <f t="shared" si="38"/>
        <v>0</v>
      </c>
      <c r="L130" s="10">
        <f t="shared" si="38"/>
        <v>0</v>
      </c>
      <c r="M130" s="10">
        <f t="shared" si="38"/>
        <v>0</v>
      </c>
      <c r="N130" s="10">
        <f t="shared" si="38"/>
        <v>0</v>
      </c>
      <c r="O130" s="5">
        <f>SUM(C130:N130)</f>
        <v>0</v>
      </c>
    </row>
    <row r="131" spans="1:15" x14ac:dyDescent="0.25">
      <c r="B131" t="s">
        <v>159</v>
      </c>
      <c r="C131" s="75">
        <v>8.3299999999999999E-2</v>
      </c>
      <c r="D131" s="75">
        <v>8.3299999999999999E-2</v>
      </c>
      <c r="E131" s="75">
        <v>8.3299999999999999E-2</v>
      </c>
      <c r="F131" s="75">
        <v>8.3299999999999999E-2</v>
      </c>
      <c r="G131" s="75">
        <v>8.3299999999999999E-2</v>
      </c>
      <c r="H131" s="75">
        <v>8.3299999999999999E-2</v>
      </c>
      <c r="I131" s="75">
        <v>8.3299999999999999E-2</v>
      </c>
      <c r="J131" s="75">
        <v>8.3299999999999999E-2</v>
      </c>
      <c r="K131" s="75">
        <v>8.3299999999999999E-2</v>
      </c>
      <c r="L131" s="75">
        <v>8.3299999999999999E-2</v>
      </c>
      <c r="M131" s="75">
        <v>8.3299999999999999E-2</v>
      </c>
      <c r="N131" s="75">
        <f>1-SUM(C131:M131)</f>
        <v>8.3699999999999886E-2</v>
      </c>
      <c r="O131" s="5">
        <f>SUM(C131:N131)</f>
        <v>1</v>
      </c>
    </row>
    <row r="132" spans="1:15" x14ac:dyDescent="0.25">
      <c r="A132" t="str">
        <f>'Prior year summary'!A112</f>
        <v>Credit card</v>
      </c>
      <c r="B132" t="s">
        <v>158</v>
      </c>
      <c r="C132" s="52"/>
      <c r="D132" s="52"/>
      <c r="E132" s="52"/>
      <c r="F132" s="52"/>
      <c r="G132" s="52"/>
      <c r="H132" s="52"/>
      <c r="I132" s="52"/>
      <c r="J132" s="52"/>
      <c r="K132" s="52"/>
      <c r="L132" s="52"/>
      <c r="M132" s="52"/>
      <c r="N132" s="52"/>
      <c r="O132" s="8">
        <f>'Prior year summary'!B112</f>
        <v>82707</v>
      </c>
    </row>
    <row r="133" spans="1:15" x14ac:dyDescent="0.25">
      <c r="B133" t="s">
        <v>160</v>
      </c>
      <c r="C133" s="10">
        <f t="shared" ref="C133:N133" si="39">IF($O132&gt;0,C132/$O132,0)</f>
        <v>0</v>
      </c>
      <c r="D133" s="10">
        <f t="shared" si="39"/>
        <v>0</v>
      </c>
      <c r="E133" s="10">
        <f t="shared" si="39"/>
        <v>0</v>
      </c>
      <c r="F133" s="10">
        <f t="shared" si="39"/>
        <v>0</v>
      </c>
      <c r="G133" s="10">
        <f t="shared" si="39"/>
        <v>0</v>
      </c>
      <c r="H133" s="10">
        <f t="shared" si="39"/>
        <v>0</v>
      </c>
      <c r="I133" s="10">
        <f t="shared" si="39"/>
        <v>0</v>
      </c>
      <c r="J133" s="10">
        <f t="shared" si="39"/>
        <v>0</v>
      </c>
      <c r="K133" s="10">
        <f t="shared" si="39"/>
        <v>0</v>
      </c>
      <c r="L133" s="10">
        <f t="shared" si="39"/>
        <v>0</v>
      </c>
      <c r="M133" s="10">
        <f t="shared" si="39"/>
        <v>0</v>
      </c>
      <c r="N133" s="10">
        <f t="shared" si="39"/>
        <v>0</v>
      </c>
      <c r="O133" s="5">
        <f>SUM(C133:N133)</f>
        <v>0</v>
      </c>
    </row>
    <row r="134" spans="1:15" x14ac:dyDescent="0.25">
      <c r="B134" t="s">
        <v>159</v>
      </c>
      <c r="C134" s="75">
        <v>8.3299999999999999E-2</v>
      </c>
      <c r="D134" s="75">
        <v>8.3299999999999999E-2</v>
      </c>
      <c r="E134" s="75">
        <v>8.3299999999999999E-2</v>
      </c>
      <c r="F134" s="75">
        <v>8.3299999999999999E-2</v>
      </c>
      <c r="G134" s="75">
        <v>8.3299999999999999E-2</v>
      </c>
      <c r="H134" s="75">
        <v>8.3299999999999999E-2</v>
      </c>
      <c r="I134" s="75">
        <v>8.3299999999999999E-2</v>
      </c>
      <c r="J134" s="75">
        <v>8.3299999999999999E-2</v>
      </c>
      <c r="K134" s="75">
        <v>8.3299999999999999E-2</v>
      </c>
      <c r="L134" s="75">
        <v>8.3299999999999999E-2</v>
      </c>
      <c r="M134" s="75">
        <v>8.3299999999999999E-2</v>
      </c>
      <c r="N134" s="75">
        <f>1-SUM(C134:M134)</f>
        <v>8.3699999999999886E-2</v>
      </c>
      <c r="O134" s="5">
        <f>SUM(C134:N134)</f>
        <v>1</v>
      </c>
    </row>
    <row r="135" spans="1:15" x14ac:dyDescent="0.25">
      <c r="A135" t="str">
        <f>'Prior year summary'!A113</f>
        <v>Fumigants</v>
      </c>
      <c r="B135" t="s">
        <v>158</v>
      </c>
      <c r="C135" s="52"/>
      <c r="D135" s="52"/>
      <c r="E135" s="52"/>
      <c r="F135" s="52"/>
      <c r="G135" s="52"/>
      <c r="H135" s="52"/>
      <c r="I135" s="52"/>
      <c r="J135" s="52"/>
      <c r="K135" s="52"/>
      <c r="L135" s="52"/>
      <c r="M135" s="52"/>
      <c r="N135" s="52"/>
      <c r="O135" s="8">
        <f>'Prior year summary'!B113</f>
        <v>7579</v>
      </c>
    </row>
    <row r="136" spans="1:15" x14ac:dyDescent="0.25">
      <c r="B136" t="s">
        <v>160</v>
      </c>
      <c r="C136" s="10">
        <f t="shared" ref="C136:N136" si="40">IF($O135&gt;0,C135/$O135,0)</f>
        <v>0</v>
      </c>
      <c r="D136" s="10">
        <f t="shared" si="40"/>
        <v>0</v>
      </c>
      <c r="E136" s="10">
        <f t="shared" si="40"/>
        <v>0</v>
      </c>
      <c r="F136" s="10">
        <f t="shared" si="40"/>
        <v>0</v>
      </c>
      <c r="G136" s="10">
        <f t="shared" si="40"/>
        <v>0</v>
      </c>
      <c r="H136" s="10">
        <f t="shared" si="40"/>
        <v>0</v>
      </c>
      <c r="I136" s="10">
        <f t="shared" si="40"/>
        <v>0</v>
      </c>
      <c r="J136" s="10">
        <f t="shared" si="40"/>
        <v>0</v>
      </c>
      <c r="K136" s="10">
        <f t="shared" si="40"/>
        <v>0</v>
      </c>
      <c r="L136" s="10">
        <f t="shared" si="40"/>
        <v>0</v>
      </c>
      <c r="M136" s="10">
        <f t="shared" si="40"/>
        <v>0</v>
      </c>
      <c r="N136" s="10">
        <f t="shared" si="40"/>
        <v>0</v>
      </c>
      <c r="O136" s="5">
        <f>SUM(C136:N136)</f>
        <v>0</v>
      </c>
    </row>
    <row r="137" spans="1:15" x14ac:dyDescent="0.25">
      <c r="B137" t="s">
        <v>159</v>
      </c>
      <c r="C137" s="75">
        <v>8.3299999999999999E-2</v>
      </c>
      <c r="D137" s="75">
        <v>8.3299999999999999E-2</v>
      </c>
      <c r="E137" s="75">
        <v>8.3299999999999999E-2</v>
      </c>
      <c r="F137" s="75">
        <v>8.3299999999999999E-2</v>
      </c>
      <c r="G137" s="75">
        <v>8.3299999999999999E-2</v>
      </c>
      <c r="H137" s="75">
        <v>8.3299999999999999E-2</v>
      </c>
      <c r="I137" s="75">
        <v>8.3299999999999999E-2</v>
      </c>
      <c r="J137" s="75">
        <v>8.3299999999999999E-2</v>
      </c>
      <c r="K137" s="75">
        <v>8.3299999999999999E-2</v>
      </c>
      <c r="L137" s="75">
        <v>8.3299999999999999E-2</v>
      </c>
      <c r="M137" s="75">
        <v>8.3299999999999999E-2</v>
      </c>
      <c r="N137" s="75">
        <f>1-SUM(C137:M137)</f>
        <v>8.3699999999999886E-2</v>
      </c>
      <c r="O137" s="5">
        <f>SUM(C137:N137)</f>
        <v>1</v>
      </c>
    </row>
    <row r="138" spans="1:15" x14ac:dyDescent="0.25">
      <c r="A138" t="str">
        <f>'Prior year summary'!A114</f>
        <v>Bad debt</v>
      </c>
      <c r="B138" t="s">
        <v>158</v>
      </c>
      <c r="C138" s="52"/>
      <c r="D138" s="52"/>
      <c r="E138" s="52"/>
      <c r="F138" s="52"/>
      <c r="G138" s="52"/>
      <c r="H138" s="52"/>
      <c r="I138" s="52"/>
      <c r="J138" s="52"/>
      <c r="K138" s="52"/>
      <c r="L138" s="52"/>
      <c r="M138" s="52"/>
      <c r="N138" s="52"/>
      <c r="O138" s="8">
        <f>'Prior year summary'!B114</f>
        <v>287333</v>
      </c>
    </row>
    <row r="139" spans="1:15" x14ac:dyDescent="0.25">
      <c r="B139" t="s">
        <v>160</v>
      </c>
      <c r="C139" s="10">
        <f t="shared" ref="C139:N139" si="41">IF($O138&gt;0,C138/$O138,0)</f>
        <v>0</v>
      </c>
      <c r="D139" s="10">
        <f t="shared" si="41"/>
        <v>0</v>
      </c>
      <c r="E139" s="10">
        <f t="shared" si="41"/>
        <v>0</v>
      </c>
      <c r="F139" s="10">
        <f t="shared" si="41"/>
        <v>0</v>
      </c>
      <c r="G139" s="10">
        <f t="shared" si="41"/>
        <v>0</v>
      </c>
      <c r="H139" s="10">
        <f t="shared" si="41"/>
        <v>0</v>
      </c>
      <c r="I139" s="10">
        <f t="shared" si="41"/>
        <v>0</v>
      </c>
      <c r="J139" s="10">
        <f t="shared" si="41"/>
        <v>0</v>
      </c>
      <c r="K139" s="10">
        <f t="shared" si="41"/>
        <v>0</v>
      </c>
      <c r="L139" s="10">
        <f t="shared" si="41"/>
        <v>0</v>
      </c>
      <c r="M139" s="10">
        <f t="shared" si="41"/>
        <v>0</v>
      </c>
      <c r="N139" s="10">
        <f t="shared" si="41"/>
        <v>0</v>
      </c>
      <c r="O139" s="5">
        <f>SUM(C139:N139)</f>
        <v>0</v>
      </c>
    </row>
    <row r="140" spans="1:15" x14ac:dyDescent="0.25">
      <c r="B140" t="s">
        <v>159</v>
      </c>
      <c r="C140" s="75">
        <v>8.3299999999999999E-2</v>
      </c>
      <c r="D140" s="75">
        <v>8.3299999999999999E-2</v>
      </c>
      <c r="E140" s="75">
        <v>8.3299999999999999E-2</v>
      </c>
      <c r="F140" s="75">
        <v>8.3299999999999999E-2</v>
      </c>
      <c r="G140" s="75">
        <v>8.3299999999999999E-2</v>
      </c>
      <c r="H140" s="75">
        <v>8.3299999999999999E-2</v>
      </c>
      <c r="I140" s="75">
        <v>8.3299999999999999E-2</v>
      </c>
      <c r="J140" s="75">
        <v>8.3299999999999999E-2</v>
      </c>
      <c r="K140" s="75">
        <v>8.3299999999999999E-2</v>
      </c>
      <c r="L140" s="75">
        <v>8.3299999999999999E-2</v>
      </c>
      <c r="M140" s="75">
        <v>8.3299999999999999E-2</v>
      </c>
      <c r="N140" s="75">
        <f>1-SUM(C140:M140)</f>
        <v>8.3699999999999886E-2</v>
      </c>
      <c r="O140" s="5">
        <f>SUM(C140:N140)</f>
        <v>1</v>
      </c>
    </row>
    <row r="141" spans="1:15" x14ac:dyDescent="0.25">
      <c r="A141" t="str">
        <f>'Prior year summary'!A115</f>
        <v>E29</v>
      </c>
      <c r="B141" t="s">
        <v>158</v>
      </c>
      <c r="C141" s="52"/>
      <c r="D141" s="52"/>
      <c r="E141" s="52"/>
      <c r="F141" s="52"/>
      <c r="G141" s="52"/>
      <c r="H141" s="52"/>
      <c r="I141" s="52"/>
      <c r="J141" s="52"/>
      <c r="K141" s="52"/>
      <c r="L141" s="52"/>
      <c r="M141" s="52"/>
      <c r="N141" s="52"/>
      <c r="O141" s="8">
        <f>'Prior year summary'!B115</f>
        <v>1E-3</v>
      </c>
    </row>
    <row r="142" spans="1:15" x14ac:dyDescent="0.25">
      <c r="B142" t="s">
        <v>160</v>
      </c>
      <c r="C142" s="10">
        <f t="shared" ref="C142:N142" si="42">IF($O141&gt;0,C141/$O141,0)</f>
        <v>0</v>
      </c>
      <c r="D142" s="10">
        <f t="shared" si="42"/>
        <v>0</v>
      </c>
      <c r="E142" s="10">
        <f t="shared" si="42"/>
        <v>0</v>
      </c>
      <c r="F142" s="10">
        <f t="shared" si="42"/>
        <v>0</v>
      </c>
      <c r="G142" s="10">
        <f t="shared" si="42"/>
        <v>0</v>
      </c>
      <c r="H142" s="10">
        <f t="shared" si="42"/>
        <v>0</v>
      </c>
      <c r="I142" s="10">
        <f t="shared" si="42"/>
        <v>0</v>
      </c>
      <c r="J142" s="10">
        <f t="shared" si="42"/>
        <v>0</v>
      </c>
      <c r="K142" s="10">
        <f t="shared" si="42"/>
        <v>0</v>
      </c>
      <c r="L142" s="10">
        <f t="shared" si="42"/>
        <v>0</v>
      </c>
      <c r="M142" s="10">
        <f t="shared" si="42"/>
        <v>0</v>
      </c>
      <c r="N142" s="10">
        <f t="shared" si="42"/>
        <v>0</v>
      </c>
      <c r="O142" s="5">
        <f>SUM(C142:N142)</f>
        <v>0</v>
      </c>
    </row>
    <row r="143" spans="1:15" x14ac:dyDescent="0.25">
      <c r="B143" t="s">
        <v>159</v>
      </c>
      <c r="C143" s="75">
        <v>8.3299999999999999E-2</v>
      </c>
      <c r="D143" s="75">
        <v>8.3299999999999999E-2</v>
      </c>
      <c r="E143" s="75">
        <v>8.3299999999999999E-2</v>
      </c>
      <c r="F143" s="75">
        <v>8.3299999999999999E-2</v>
      </c>
      <c r="G143" s="75">
        <v>8.3299999999999999E-2</v>
      </c>
      <c r="H143" s="75">
        <v>8.3299999999999999E-2</v>
      </c>
      <c r="I143" s="75">
        <v>8.3299999999999999E-2</v>
      </c>
      <c r="J143" s="75">
        <v>8.3299999999999999E-2</v>
      </c>
      <c r="K143" s="75">
        <v>8.3299999999999999E-2</v>
      </c>
      <c r="L143" s="75">
        <v>8.3299999999999999E-2</v>
      </c>
      <c r="M143" s="75">
        <v>8.3299999999999999E-2</v>
      </c>
      <c r="N143" s="75">
        <f>1-SUM(C143:M143)</f>
        <v>8.3699999999999886E-2</v>
      </c>
      <c r="O143" s="5">
        <f>SUM(C143:N143)</f>
        <v>1</v>
      </c>
    </row>
    <row r="144" spans="1:15" x14ac:dyDescent="0.25">
      <c r="A144" t="str">
        <f>'Prior year summary'!A116</f>
        <v>E30</v>
      </c>
      <c r="B144" t="s">
        <v>158</v>
      </c>
      <c r="C144" s="52"/>
      <c r="D144" s="52"/>
      <c r="E144" s="52"/>
      <c r="F144" s="52"/>
      <c r="G144" s="52"/>
      <c r="H144" s="52"/>
      <c r="I144" s="52"/>
      <c r="J144" s="52"/>
      <c r="K144" s="52"/>
      <c r="L144" s="52"/>
      <c r="M144" s="52"/>
      <c r="N144" s="52"/>
      <c r="O144" s="8">
        <f>'Prior year summary'!B116</f>
        <v>1E-3</v>
      </c>
    </row>
    <row r="145" spans="1:15" x14ac:dyDescent="0.25">
      <c r="B145" t="s">
        <v>160</v>
      </c>
      <c r="C145" s="10">
        <f t="shared" ref="C145:N145" si="43">IF($O144&gt;0,C144/$O144,0)</f>
        <v>0</v>
      </c>
      <c r="D145" s="10">
        <f t="shared" si="43"/>
        <v>0</v>
      </c>
      <c r="E145" s="10">
        <f t="shared" si="43"/>
        <v>0</v>
      </c>
      <c r="F145" s="10">
        <f t="shared" si="43"/>
        <v>0</v>
      </c>
      <c r="G145" s="10">
        <f t="shared" si="43"/>
        <v>0</v>
      </c>
      <c r="H145" s="10">
        <f t="shared" si="43"/>
        <v>0</v>
      </c>
      <c r="I145" s="10">
        <f t="shared" si="43"/>
        <v>0</v>
      </c>
      <c r="J145" s="10">
        <f t="shared" si="43"/>
        <v>0</v>
      </c>
      <c r="K145" s="10">
        <f t="shared" si="43"/>
        <v>0</v>
      </c>
      <c r="L145" s="10">
        <f t="shared" si="43"/>
        <v>0</v>
      </c>
      <c r="M145" s="10">
        <f t="shared" si="43"/>
        <v>0</v>
      </c>
      <c r="N145" s="10">
        <f t="shared" si="43"/>
        <v>0</v>
      </c>
      <c r="O145" s="5">
        <f>SUM(C145:N145)</f>
        <v>0</v>
      </c>
    </row>
    <row r="146" spans="1:15" x14ac:dyDescent="0.25">
      <c r="B146" t="s">
        <v>159</v>
      </c>
      <c r="C146" s="75">
        <v>8.3299999999999999E-2</v>
      </c>
      <c r="D146" s="75">
        <v>8.3299999999999999E-2</v>
      </c>
      <c r="E146" s="75">
        <v>8.3299999999999999E-2</v>
      </c>
      <c r="F146" s="75">
        <v>8.3299999999999999E-2</v>
      </c>
      <c r="G146" s="75">
        <v>8.3299999999999999E-2</v>
      </c>
      <c r="H146" s="75">
        <v>8.3299999999999999E-2</v>
      </c>
      <c r="I146" s="75">
        <v>8.3299999999999999E-2</v>
      </c>
      <c r="J146" s="75">
        <v>8.3299999999999999E-2</v>
      </c>
      <c r="K146" s="75">
        <v>8.3299999999999999E-2</v>
      </c>
      <c r="L146" s="75">
        <v>8.3299999999999999E-2</v>
      </c>
      <c r="M146" s="75">
        <v>8.3299999999999999E-2</v>
      </c>
      <c r="N146" s="75">
        <f>1-SUM(C146:M146)</f>
        <v>8.3699999999999886E-2</v>
      </c>
      <c r="O146" s="5">
        <f>SUM(C146:N146)</f>
        <v>1</v>
      </c>
    </row>
    <row r="147" spans="1:15" x14ac:dyDescent="0.25">
      <c r="A147" t="str">
        <f>'Prior year summary'!A117</f>
        <v>E31</v>
      </c>
      <c r="B147" t="s">
        <v>158</v>
      </c>
      <c r="C147" s="52"/>
      <c r="D147" s="52"/>
      <c r="E147" s="52"/>
      <c r="F147" s="52"/>
      <c r="G147" s="52"/>
      <c r="H147" s="52"/>
      <c r="I147" s="52"/>
      <c r="J147" s="52"/>
      <c r="K147" s="52"/>
      <c r="L147" s="52"/>
      <c r="M147" s="52"/>
      <c r="N147" s="52"/>
      <c r="O147" s="8">
        <f>'Prior year summary'!B117</f>
        <v>1E-3</v>
      </c>
    </row>
    <row r="148" spans="1:15" x14ac:dyDescent="0.25">
      <c r="B148" t="s">
        <v>160</v>
      </c>
      <c r="C148" s="10">
        <f t="shared" ref="C148:N148" si="44">IF($O147&gt;0,C147/$O147,0)</f>
        <v>0</v>
      </c>
      <c r="D148" s="10">
        <f t="shared" si="44"/>
        <v>0</v>
      </c>
      <c r="E148" s="10">
        <f t="shared" si="44"/>
        <v>0</v>
      </c>
      <c r="F148" s="10">
        <f t="shared" si="44"/>
        <v>0</v>
      </c>
      <c r="G148" s="10">
        <f t="shared" si="44"/>
        <v>0</v>
      </c>
      <c r="H148" s="10">
        <f t="shared" si="44"/>
        <v>0</v>
      </c>
      <c r="I148" s="10">
        <f t="shared" si="44"/>
        <v>0</v>
      </c>
      <c r="J148" s="10">
        <f t="shared" si="44"/>
        <v>0</v>
      </c>
      <c r="K148" s="10">
        <f t="shared" si="44"/>
        <v>0</v>
      </c>
      <c r="L148" s="10">
        <f t="shared" si="44"/>
        <v>0</v>
      </c>
      <c r="M148" s="10">
        <f t="shared" si="44"/>
        <v>0</v>
      </c>
      <c r="N148" s="10">
        <f t="shared" si="44"/>
        <v>0</v>
      </c>
      <c r="O148" s="5">
        <f>SUM(C148:N148)</f>
        <v>0</v>
      </c>
    </row>
    <row r="149" spans="1:15" x14ac:dyDescent="0.25">
      <c r="B149" t="s">
        <v>159</v>
      </c>
      <c r="C149" s="75">
        <v>8.3299999999999999E-2</v>
      </c>
      <c r="D149" s="75">
        <v>8.3299999999999999E-2</v>
      </c>
      <c r="E149" s="75">
        <v>8.3299999999999999E-2</v>
      </c>
      <c r="F149" s="75">
        <v>8.3299999999999999E-2</v>
      </c>
      <c r="G149" s="75">
        <v>8.3299999999999999E-2</v>
      </c>
      <c r="H149" s="75">
        <v>8.3299999999999999E-2</v>
      </c>
      <c r="I149" s="75">
        <v>8.3299999999999999E-2</v>
      </c>
      <c r="J149" s="75">
        <v>8.3299999999999999E-2</v>
      </c>
      <c r="K149" s="75">
        <v>8.3299999999999999E-2</v>
      </c>
      <c r="L149" s="75">
        <v>8.3299999999999999E-2</v>
      </c>
      <c r="M149" s="75">
        <v>8.3299999999999999E-2</v>
      </c>
      <c r="N149" s="75">
        <f>1-SUM(C149:M149)</f>
        <v>8.3699999999999886E-2</v>
      </c>
      <c r="O149" s="5">
        <f>SUM(C149:N149)</f>
        <v>1</v>
      </c>
    </row>
    <row r="150" spans="1:15" x14ac:dyDescent="0.25">
      <c r="A150" t="str">
        <f>'Prior year summary'!A118</f>
        <v>E32</v>
      </c>
      <c r="B150" t="s">
        <v>158</v>
      </c>
      <c r="C150" s="52"/>
      <c r="D150" s="52"/>
      <c r="E150" s="52"/>
      <c r="F150" s="52"/>
      <c r="G150" s="52"/>
      <c r="H150" s="52"/>
      <c r="I150" s="52"/>
      <c r="J150" s="52"/>
      <c r="K150" s="52"/>
      <c r="L150" s="52"/>
      <c r="M150" s="52"/>
      <c r="N150" s="52"/>
      <c r="O150" s="8">
        <f>'Prior year summary'!B118</f>
        <v>1E-3</v>
      </c>
    </row>
    <row r="151" spans="1:15" x14ac:dyDescent="0.25">
      <c r="B151" t="s">
        <v>160</v>
      </c>
      <c r="C151" s="10">
        <f t="shared" ref="C151:N151" si="45">IF($O150&gt;0,C150/$O150,0)</f>
        <v>0</v>
      </c>
      <c r="D151" s="10">
        <f t="shared" si="45"/>
        <v>0</v>
      </c>
      <c r="E151" s="10">
        <f t="shared" si="45"/>
        <v>0</v>
      </c>
      <c r="F151" s="10">
        <f t="shared" si="45"/>
        <v>0</v>
      </c>
      <c r="G151" s="10">
        <f t="shared" si="45"/>
        <v>0</v>
      </c>
      <c r="H151" s="10">
        <f t="shared" si="45"/>
        <v>0</v>
      </c>
      <c r="I151" s="10">
        <f t="shared" si="45"/>
        <v>0</v>
      </c>
      <c r="J151" s="10">
        <f t="shared" si="45"/>
        <v>0</v>
      </c>
      <c r="K151" s="10">
        <f t="shared" si="45"/>
        <v>0</v>
      </c>
      <c r="L151" s="10">
        <f t="shared" si="45"/>
        <v>0</v>
      </c>
      <c r="M151" s="10">
        <f t="shared" si="45"/>
        <v>0</v>
      </c>
      <c r="N151" s="10">
        <f t="shared" si="45"/>
        <v>0</v>
      </c>
      <c r="O151" s="5">
        <f>SUM(C151:N151)</f>
        <v>0</v>
      </c>
    </row>
    <row r="152" spans="1:15" x14ac:dyDescent="0.25">
      <c r="B152" t="s">
        <v>159</v>
      </c>
      <c r="C152" s="75">
        <v>8.3299999999999999E-2</v>
      </c>
      <c r="D152" s="75">
        <v>8.3299999999999999E-2</v>
      </c>
      <c r="E152" s="75">
        <v>8.3299999999999999E-2</v>
      </c>
      <c r="F152" s="75">
        <v>8.3299999999999999E-2</v>
      </c>
      <c r="G152" s="75">
        <v>8.3299999999999999E-2</v>
      </c>
      <c r="H152" s="75">
        <v>8.3299999999999999E-2</v>
      </c>
      <c r="I152" s="75">
        <v>8.3299999999999999E-2</v>
      </c>
      <c r="J152" s="75">
        <v>8.3299999999999999E-2</v>
      </c>
      <c r="K152" s="75">
        <v>8.3299999999999999E-2</v>
      </c>
      <c r="L152" s="75">
        <v>8.3299999999999999E-2</v>
      </c>
      <c r="M152" s="75">
        <v>8.3299999999999999E-2</v>
      </c>
      <c r="N152" s="75">
        <f>1-SUM(C152:M152)</f>
        <v>8.3699999999999886E-2</v>
      </c>
      <c r="O152" s="5">
        <f>SUM(C152:N152)</f>
        <v>1</v>
      </c>
    </row>
    <row r="153" spans="1:15" x14ac:dyDescent="0.25">
      <c r="A153" t="str">
        <f>'Prior year summary'!A119</f>
        <v>E33</v>
      </c>
      <c r="B153" t="s">
        <v>158</v>
      </c>
      <c r="C153" s="52"/>
      <c r="D153" s="52"/>
      <c r="E153" s="52"/>
      <c r="F153" s="52"/>
      <c r="G153" s="52"/>
      <c r="H153" s="52"/>
      <c r="I153" s="52"/>
      <c r="J153" s="52"/>
      <c r="K153" s="52"/>
      <c r="L153" s="52"/>
      <c r="M153" s="52"/>
      <c r="N153" s="52"/>
      <c r="O153" s="8">
        <f>'Prior year summary'!B119</f>
        <v>1E-3</v>
      </c>
    </row>
    <row r="154" spans="1:15" x14ac:dyDescent="0.25">
      <c r="B154" t="s">
        <v>160</v>
      </c>
      <c r="C154" s="10">
        <f t="shared" ref="C154:N154" si="46">IF($O153&gt;0,C153/$O153,0)</f>
        <v>0</v>
      </c>
      <c r="D154" s="10">
        <f t="shared" si="46"/>
        <v>0</v>
      </c>
      <c r="E154" s="10">
        <f t="shared" si="46"/>
        <v>0</v>
      </c>
      <c r="F154" s="10">
        <f t="shared" si="46"/>
        <v>0</v>
      </c>
      <c r="G154" s="10">
        <f t="shared" si="46"/>
        <v>0</v>
      </c>
      <c r="H154" s="10">
        <f t="shared" si="46"/>
        <v>0</v>
      </c>
      <c r="I154" s="10">
        <f t="shared" si="46"/>
        <v>0</v>
      </c>
      <c r="J154" s="10">
        <f t="shared" si="46"/>
        <v>0</v>
      </c>
      <c r="K154" s="10">
        <f t="shared" si="46"/>
        <v>0</v>
      </c>
      <c r="L154" s="10">
        <f t="shared" si="46"/>
        <v>0</v>
      </c>
      <c r="M154" s="10">
        <f t="shared" si="46"/>
        <v>0</v>
      </c>
      <c r="N154" s="10">
        <f t="shared" si="46"/>
        <v>0</v>
      </c>
      <c r="O154" s="5">
        <f>SUM(C154:N154)</f>
        <v>0</v>
      </c>
    </row>
    <row r="155" spans="1:15" x14ac:dyDescent="0.25">
      <c r="B155" t="s">
        <v>159</v>
      </c>
      <c r="C155" s="75">
        <v>8.3299999999999999E-2</v>
      </c>
      <c r="D155" s="75">
        <v>8.3299999999999999E-2</v>
      </c>
      <c r="E155" s="75">
        <v>8.3299999999999999E-2</v>
      </c>
      <c r="F155" s="75">
        <v>8.3299999999999999E-2</v>
      </c>
      <c r="G155" s="75">
        <v>8.3299999999999999E-2</v>
      </c>
      <c r="H155" s="75">
        <v>8.3299999999999999E-2</v>
      </c>
      <c r="I155" s="75">
        <v>8.3299999999999999E-2</v>
      </c>
      <c r="J155" s="75">
        <v>8.3299999999999999E-2</v>
      </c>
      <c r="K155" s="75">
        <v>8.3299999999999999E-2</v>
      </c>
      <c r="L155" s="75">
        <v>8.3299999999999999E-2</v>
      </c>
      <c r="M155" s="75">
        <v>8.3299999999999999E-2</v>
      </c>
      <c r="N155" s="75">
        <f>1-SUM(C155:M155)</f>
        <v>8.3699999999999886E-2</v>
      </c>
      <c r="O155" s="5">
        <f>SUM(C155:N155)</f>
        <v>1</v>
      </c>
    </row>
    <row r="156" spans="1:15" x14ac:dyDescent="0.25">
      <c r="A156" s="2"/>
      <c r="B156" s="2"/>
      <c r="C156" s="2"/>
      <c r="D156" s="2"/>
      <c r="E156" s="2"/>
      <c r="F156" s="2"/>
      <c r="G156" s="2"/>
      <c r="H156" s="2"/>
      <c r="I156" s="2"/>
      <c r="J156" s="2"/>
      <c r="K156" s="2"/>
      <c r="L156" s="2"/>
      <c r="M156" s="2"/>
      <c r="N156" s="2"/>
      <c r="O156" s="9"/>
    </row>
    <row r="157" spans="1:15" x14ac:dyDescent="0.25">
      <c r="A157" s="2"/>
      <c r="B157" s="2"/>
      <c r="C157" s="7"/>
      <c r="D157" s="7"/>
      <c r="E157" s="7"/>
      <c r="F157" s="7"/>
      <c r="G157" s="7"/>
      <c r="H157" s="7"/>
      <c r="I157" s="7"/>
      <c r="J157" s="7"/>
      <c r="K157" s="7"/>
      <c r="L157" s="7"/>
      <c r="M157" s="7"/>
      <c r="N157" s="7"/>
      <c r="O157" s="7"/>
    </row>
    <row r="158" spans="1:15" x14ac:dyDescent="0.25">
      <c r="A158" s="2"/>
      <c r="B158" s="2"/>
      <c r="C158" s="7"/>
      <c r="D158" s="7"/>
      <c r="E158" s="7"/>
      <c r="F158" s="7"/>
      <c r="G158" s="7"/>
      <c r="H158" s="7"/>
      <c r="I158" s="7"/>
      <c r="J158" s="7"/>
      <c r="K158" s="7"/>
      <c r="L158" s="7"/>
      <c r="M158" s="7"/>
      <c r="N158" s="7"/>
      <c r="O158" s="7"/>
    </row>
    <row r="159" spans="1:15" x14ac:dyDescent="0.25">
      <c r="A159" s="2"/>
      <c r="B159" s="2"/>
      <c r="C159" s="2"/>
      <c r="D159" s="2"/>
      <c r="E159" s="2"/>
      <c r="F159" s="2"/>
      <c r="G159" s="2"/>
      <c r="H159" s="2"/>
      <c r="I159" s="2"/>
      <c r="J159" s="2"/>
      <c r="K159" s="2"/>
      <c r="L159" s="2"/>
      <c r="M159" s="2"/>
      <c r="N159" s="2"/>
      <c r="O159" s="2"/>
    </row>
    <row r="160" spans="1:15" x14ac:dyDescent="0.25">
      <c r="A160" s="2"/>
      <c r="B160" s="2"/>
      <c r="C160" s="2"/>
      <c r="D160" s="2"/>
      <c r="E160" s="2"/>
      <c r="F160" s="2"/>
      <c r="G160" s="2"/>
      <c r="H160" s="2"/>
      <c r="I160" s="2"/>
      <c r="J160" s="2"/>
      <c r="K160" s="2"/>
      <c r="L160" s="2"/>
      <c r="M160" s="2"/>
      <c r="N160" s="2"/>
      <c r="O160" s="2"/>
    </row>
    <row r="161" spans="1:15" x14ac:dyDescent="0.25">
      <c r="A161" s="2"/>
      <c r="B161" s="2"/>
      <c r="C161" s="2"/>
      <c r="D161" s="2"/>
      <c r="E161" s="2"/>
      <c r="F161" s="2"/>
      <c r="G161" s="2"/>
      <c r="H161" s="2"/>
      <c r="I161" s="2"/>
      <c r="J161" s="2"/>
      <c r="K161" s="2"/>
      <c r="L161" s="2"/>
      <c r="M161" s="2"/>
      <c r="N161" s="2"/>
      <c r="O161" s="2"/>
    </row>
    <row r="162" spans="1:15" x14ac:dyDescent="0.25">
      <c r="A162" s="2"/>
      <c r="B162" s="2"/>
      <c r="C162" s="2"/>
      <c r="D162" s="2"/>
      <c r="E162" s="2"/>
      <c r="F162" s="2"/>
      <c r="G162" s="2"/>
      <c r="H162" s="2"/>
      <c r="I162" s="2"/>
      <c r="J162" s="2"/>
      <c r="K162" s="2"/>
      <c r="L162" s="2"/>
      <c r="M162" s="2"/>
      <c r="N162" s="2"/>
      <c r="O162" s="2"/>
    </row>
  </sheetData>
  <mergeCells count="1">
    <mergeCell ref="A3:J3"/>
  </mergeCells>
  <phoneticPr fontId="2" type="noConversion"/>
  <hyperlinks>
    <hyperlink ref="A6" location="Instructions!L8" display="Instructions!L8"/>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zoomScale="90" zoomScaleNormal="90" workbookViewId="0">
      <selection activeCell="A5" sqref="A5"/>
    </sheetView>
  </sheetViews>
  <sheetFormatPr defaultRowHeight="15" x14ac:dyDescent="0.25"/>
  <cols>
    <col min="1" max="1" width="25.85546875" customWidth="1"/>
    <col min="2" max="12" width="13.28515625" bestFit="1" customWidth="1"/>
    <col min="13" max="13" width="13.140625" customWidth="1"/>
  </cols>
  <sheetData>
    <row r="1" spans="1:13" x14ac:dyDescent="0.25">
      <c r="A1" s="2" t="s">
        <v>345</v>
      </c>
    </row>
    <row r="2" spans="1:13" x14ac:dyDescent="0.25">
      <c r="A2" t="s">
        <v>343</v>
      </c>
    </row>
    <row r="3" spans="1:13" x14ac:dyDescent="0.25">
      <c r="A3" t="s">
        <v>346</v>
      </c>
    </row>
    <row r="4" spans="1:13" x14ac:dyDescent="0.25">
      <c r="A4" t="s">
        <v>344</v>
      </c>
    </row>
    <row r="5" spans="1:13" x14ac:dyDescent="0.25">
      <c r="A5" s="36" t="str">
        <f>'Monthly Sales Worksheet'!$C$6</f>
        <v>Back to Instructions</v>
      </c>
    </row>
    <row r="7" spans="1:13" x14ac:dyDescent="0.25">
      <c r="B7" s="44" t="str">
        <f>'Monthly Sales Worksheet'!C8</f>
        <v>JAN</v>
      </c>
      <c r="C7" t="str">
        <f>'Monthly Sales Worksheet'!D8</f>
        <v>FEB</v>
      </c>
      <c r="D7" t="str">
        <f>'Monthly Sales Worksheet'!E8</f>
        <v>MAR</v>
      </c>
      <c r="E7" t="str">
        <f>'Monthly Sales Worksheet'!F8</f>
        <v>APRIL</v>
      </c>
      <c r="F7" t="str">
        <f>'Monthly Sales Worksheet'!G8</f>
        <v>MAY</v>
      </c>
      <c r="G7" t="str">
        <f>'Monthly Sales Worksheet'!H8</f>
        <v>JUN</v>
      </c>
      <c r="H7" t="str">
        <f>'Monthly Sales Worksheet'!I8</f>
        <v>JUL</v>
      </c>
      <c r="I7" t="str">
        <f>'Monthly Sales Worksheet'!J8</f>
        <v>AUG</v>
      </c>
      <c r="J7" t="str">
        <f>'Monthly Sales Worksheet'!K8</f>
        <v>SEPT</v>
      </c>
      <c r="K7" t="str">
        <f>'Monthly Sales Worksheet'!L8</f>
        <v>OCT</v>
      </c>
      <c r="L7" t="str">
        <f>'Monthly Sales Worksheet'!M8</f>
        <v>NOV</v>
      </c>
      <c r="M7" t="str">
        <f>'Monthly Sales Worksheet'!N8</f>
        <v>DEC</v>
      </c>
    </row>
    <row r="8" spans="1:13" x14ac:dyDescent="0.25">
      <c r="A8" t="s">
        <v>195</v>
      </c>
      <c r="B8" s="59">
        <v>1000000</v>
      </c>
      <c r="C8" s="59">
        <v>1100000</v>
      </c>
      <c r="D8" s="59">
        <v>1200000</v>
      </c>
      <c r="E8" s="59">
        <v>1100000</v>
      </c>
      <c r="F8" s="59">
        <v>1000000</v>
      </c>
      <c r="G8" s="59">
        <v>900000</v>
      </c>
      <c r="H8" s="59">
        <v>800000</v>
      </c>
      <c r="I8" s="59">
        <v>900000</v>
      </c>
      <c r="J8" s="59">
        <v>1000000</v>
      </c>
      <c r="K8" s="59">
        <v>1100000</v>
      </c>
      <c r="L8" s="59">
        <v>1200000</v>
      </c>
      <c r="M8" s="59">
        <v>1300000</v>
      </c>
    </row>
    <row r="9" spans="1:13" x14ac:dyDescent="0.25">
      <c r="A9" t="s">
        <v>196</v>
      </c>
      <c r="B9" s="20">
        <f>'Monthly Sales Worksheet'!C70</f>
        <v>1604606.0674000001</v>
      </c>
      <c r="C9" s="20">
        <f>'Monthly Sales Worksheet'!D70</f>
        <v>1604606.0674000001</v>
      </c>
      <c r="D9" s="20">
        <f>'Monthly Sales Worksheet'!E70</f>
        <v>1604606.0674000001</v>
      </c>
      <c r="E9" s="20">
        <f>'Monthly Sales Worksheet'!F70</f>
        <v>1604606.0674000001</v>
      </c>
      <c r="F9" s="20">
        <f>'Monthly Sales Worksheet'!G70</f>
        <v>1604606.0674000001</v>
      </c>
      <c r="G9" s="20">
        <f>'Monthly Sales Worksheet'!H70</f>
        <v>1604606.0674000001</v>
      </c>
      <c r="H9" s="20">
        <f>'Monthly Sales Worksheet'!I70</f>
        <v>1604606.0674000001</v>
      </c>
      <c r="I9" s="20">
        <f>'Monthly Sales Worksheet'!J70</f>
        <v>1604606.0674000001</v>
      </c>
      <c r="J9" s="20">
        <f>'Monthly Sales Worksheet'!K70</f>
        <v>1604606.0674000001</v>
      </c>
      <c r="K9" s="20">
        <f>'Monthly Sales Worksheet'!L70</f>
        <v>1604606.0674000001</v>
      </c>
      <c r="L9" s="20">
        <f>'Monthly Sales Worksheet'!M70</f>
        <v>1604606.0674000001</v>
      </c>
      <c r="M9" s="20">
        <f>'Monthly Sales Worksheet'!N70</f>
        <v>1612311.2585999966</v>
      </c>
    </row>
    <row r="10" spans="1:13" x14ac:dyDescent="0.25">
      <c r="A10" t="s">
        <v>197</v>
      </c>
      <c r="B10" s="10">
        <f>IF(B9&gt;0,B8/B9,0)</f>
        <v>0.62320591970609673</v>
      </c>
      <c r="C10" s="10">
        <f t="shared" ref="C10:M10" si="0">IF(C9&gt;0,C8/C9,0)</f>
        <v>0.68552651167670631</v>
      </c>
      <c r="D10" s="10">
        <f t="shared" si="0"/>
        <v>0.74784710364731599</v>
      </c>
      <c r="E10" s="10">
        <f t="shared" si="0"/>
        <v>0.68552651167670631</v>
      </c>
      <c r="F10" s="10">
        <f t="shared" si="0"/>
        <v>0.62320591970609673</v>
      </c>
      <c r="G10" s="10">
        <f t="shared" si="0"/>
        <v>0.56088532773548705</v>
      </c>
      <c r="H10" s="10">
        <f t="shared" si="0"/>
        <v>0.49856473576487736</v>
      </c>
      <c r="I10" s="10">
        <f t="shared" si="0"/>
        <v>0.56088532773548705</v>
      </c>
      <c r="J10" s="10">
        <f t="shared" si="0"/>
        <v>0.62320591970609673</v>
      </c>
      <c r="K10" s="10">
        <f t="shared" si="0"/>
        <v>0.68552651167670631</v>
      </c>
      <c r="L10" s="10">
        <f t="shared" si="0"/>
        <v>0.74784710364731599</v>
      </c>
      <c r="M10" s="10">
        <f t="shared" si="0"/>
        <v>0.806295926463242</v>
      </c>
    </row>
    <row r="11" spans="1:13" x14ac:dyDescent="0.25">
      <c r="A11" t="s">
        <v>198</v>
      </c>
      <c r="B11" s="58">
        <f>B10</f>
        <v>0.62320591970609673</v>
      </c>
      <c r="C11" s="58">
        <f t="shared" ref="C11:M11" si="1">C10</f>
        <v>0.68552651167670631</v>
      </c>
      <c r="D11" s="58">
        <f t="shared" si="1"/>
        <v>0.74784710364731599</v>
      </c>
      <c r="E11" s="58">
        <f t="shared" si="1"/>
        <v>0.68552651167670631</v>
      </c>
      <c r="F11" s="58">
        <f t="shared" si="1"/>
        <v>0.62320591970609673</v>
      </c>
      <c r="G11" s="58">
        <f t="shared" si="1"/>
        <v>0.56088532773548705</v>
      </c>
      <c r="H11" s="58">
        <f t="shared" si="1"/>
        <v>0.49856473576487736</v>
      </c>
      <c r="I11" s="58">
        <f t="shared" si="1"/>
        <v>0.56088532773548705</v>
      </c>
      <c r="J11" s="58">
        <f t="shared" si="1"/>
        <v>0.62320591970609673</v>
      </c>
      <c r="K11" s="58">
        <f t="shared" si="1"/>
        <v>0.68552651167670631</v>
      </c>
      <c r="L11" s="58">
        <f t="shared" si="1"/>
        <v>0.74784710364731599</v>
      </c>
      <c r="M11" s="58">
        <f t="shared" si="1"/>
        <v>0.806295926463242</v>
      </c>
    </row>
    <row r="12" spans="1:13" x14ac:dyDescent="0.25">
      <c r="A12" t="s">
        <v>202</v>
      </c>
      <c r="B12" s="22">
        <f>'Sales Budget'!C68</f>
        <v>1604606.0674000001</v>
      </c>
      <c r="C12" s="22">
        <f>'Sales Budget'!D68</f>
        <v>1604606.0674000001</v>
      </c>
      <c r="D12" s="22">
        <f>'Sales Budget'!E68</f>
        <v>1604606.0674000001</v>
      </c>
      <c r="E12" s="22">
        <f>'Sales Budget'!F68</f>
        <v>1604606.0674000001</v>
      </c>
      <c r="F12" s="22">
        <f>'Sales Budget'!G68</f>
        <v>1604606.0674000001</v>
      </c>
      <c r="G12" s="22">
        <f>'Sales Budget'!H68</f>
        <v>1604606.0674000001</v>
      </c>
      <c r="H12" s="22">
        <f>'Sales Budget'!I68</f>
        <v>1604606.0674000001</v>
      </c>
      <c r="I12" s="22">
        <f>'Sales Budget'!J68</f>
        <v>1604606.0674000001</v>
      </c>
      <c r="J12" s="22">
        <f>'Sales Budget'!K68</f>
        <v>1604606.0674000001</v>
      </c>
      <c r="K12" s="22">
        <f>'Sales Budget'!L68</f>
        <v>1604606.0674000001</v>
      </c>
      <c r="L12" s="22">
        <f>'Sales Budget'!M68</f>
        <v>1604606.0674000001</v>
      </c>
      <c r="M12" s="22">
        <f>'Sales Budget'!N68</f>
        <v>1612311.258599998</v>
      </c>
    </row>
    <row r="13" spans="1:13" x14ac:dyDescent="0.25">
      <c r="A13" t="s">
        <v>200</v>
      </c>
      <c r="B13" s="9">
        <f>B12*B11</f>
        <v>1000000.0000000001</v>
      </c>
      <c r="C13" s="9">
        <f t="shared" ref="C13:M13" si="2">C12*C11</f>
        <v>1100000</v>
      </c>
      <c r="D13" s="9">
        <f t="shared" si="2"/>
        <v>1200000</v>
      </c>
      <c r="E13" s="9">
        <f t="shared" si="2"/>
        <v>1100000</v>
      </c>
      <c r="F13" s="9">
        <f t="shared" si="2"/>
        <v>1000000.0000000001</v>
      </c>
      <c r="G13" s="9">
        <f t="shared" si="2"/>
        <v>900000</v>
      </c>
      <c r="H13" s="9">
        <f t="shared" si="2"/>
        <v>800000</v>
      </c>
      <c r="I13" s="9">
        <f t="shared" si="2"/>
        <v>900000</v>
      </c>
      <c r="J13" s="9">
        <f t="shared" si="2"/>
        <v>1000000.0000000001</v>
      </c>
      <c r="K13" s="9">
        <f t="shared" si="2"/>
        <v>1100000</v>
      </c>
      <c r="L13" s="9">
        <f t="shared" si="2"/>
        <v>1200000</v>
      </c>
      <c r="M13" s="9">
        <f t="shared" si="2"/>
        <v>1300000.0000000012</v>
      </c>
    </row>
    <row r="15" spans="1:13" x14ac:dyDescent="0.25">
      <c r="A15" t="s">
        <v>199</v>
      </c>
    </row>
    <row r="16" spans="1:13" x14ac:dyDescent="0.25">
      <c r="A16" t="str">
        <f>A9</f>
        <v>Supply Sales Prior Year</v>
      </c>
      <c r="B16" s="6">
        <f>B9</f>
        <v>1604606.0674000001</v>
      </c>
      <c r="C16" s="6">
        <f t="shared" ref="C16:M16" si="3">C9</f>
        <v>1604606.0674000001</v>
      </c>
      <c r="D16" s="6">
        <f t="shared" si="3"/>
        <v>1604606.0674000001</v>
      </c>
      <c r="E16" s="6">
        <f t="shared" si="3"/>
        <v>1604606.0674000001</v>
      </c>
      <c r="F16" s="6">
        <f t="shared" si="3"/>
        <v>1604606.0674000001</v>
      </c>
      <c r="G16" s="6">
        <f t="shared" si="3"/>
        <v>1604606.0674000001</v>
      </c>
      <c r="H16" s="6">
        <f t="shared" si="3"/>
        <v>1604606.0674000001</v>
      </c>
      <c r="I16" s="6">
        <f t="shared" si="3"/>
        <v>1604606.0674000001</v>
      </c>
      <c r="J16" s="6">
        <f t="shared" si="3"/>
        <v>1604606.0674000001</v>
      </c>
      <c r="K16" s="6">
        <f t="shared" si="3"/>
        <v>1604606.0674000001</v>
      </c>
      <c r="L16" s="6">
        <f t="shared" si="3"/>
        <v>1604606.0674000001</v>
      </c>
      <c r="M16" s="6">
        <f t="shared" si="3"/>
        <v>1612311.2585999966</v>
      </c>
    </row>
    <row r="17" spans="1:13" x14ac:dyDescent="0.25">
      <c r="A17" t="s">
        <v>341</v>
      </c>
      <c r="B17" s="60">
        <v>1000000</v>
      </c>
      <c r="C17" s="60">
        <v>1100000</v>
      </c>
      <c r="D17" s="60">
        <v>1200000</v>
      </c>
      <c r="E17" s="60">
        <v>1100000</v>
      </c>
      <c r="F17" s="60">
        <v>1000000</v>
      </c>
      <c r="G17" s="60">
        <v>900000</v>
      </c>
      <c r="H17" s="60">
        <v>800000</v>
      </c>
      <c r="I17" s="60">
        <v>900000</v>
      </c>
      <c r="J17" s="60">
        <v>1000000</v>
      </c>
      <c r="K17" s="60">
        <v>1100000</v>
      </c>
      <c r="L17" s="60">
        <v>1200000</v>
      </c>
      <c r="M17" s="60">
        <v>1300000</v>
      </c>
    </row>
    <row r="18" spans="1:13" x14ac:dyDescent="0.25">
      <c r="A18" t="s">
        <v>342</v>
      </c>
      <c r="B18" s="10">
        <f>B17/B16</f>
        <v>0.62320591970609673</v>
      </c>
      <c r="C18" s="10">
        <f t="shared" ref="C18:M18" si="4">C17/C16</f>
        <v>0.68552651167670631</v>
      </c>
      <c r="D18" s="10">
        <f t="shared" si="4"/>
        <v>0.74784710364731599</v>
      </c>
      <c r="E18" s="10">
        <f t="shared" si="4"/>
        <v>0.68552651167670631</v>
      </c>
      <c r="F18" s="10">
        <f t="shared" si="4"/>
        <v>0.62320591970609673</v>
      </c>
      <c r="G18" s="10">
        <f t="shared" si="4"/>
        <v>0.56088532773548705</v>
      </c>
      <c r="H18" s="10">
        <f t="shared" si="4"/>
        <v>0.49856473576487736</v>
      </c>
      <c r="I18" s="10">
        <f t="shared" si="4"/>
        <v>0.56088532773548705</v>
      </c>
      <c r="J18" s="10">
        <f t="shared" si="4"/>
        <v>0.62320591970609673</v>
      </c>
      <c r="K18" s="10">
        <f t="shared" si="4"/>
        <v>0.68552651167670631</v>
      </c>
      <c r="L18" s="10">
        <f t="shared" si="4"/>
        <v>0.74784710364731599</v>
      </c>
      <c r="M18" s="10">
        <f t="shared" si="4"/>
        <v>0.806295926463242</v>
      </c>
    </row>
    <row r="19" spans="1:13" x14ac:dyDescent="0.25">
      <c r="A19" t="s">
        <v>201</v>
      </c>
      <c r="B19" s="61">
        <v>0.62320591970609673</v>
      </c>
      <c r="C19" s="61">
        <v>0.68552651167670631</v>
      </c>
      <c r="D19" s="61">
        <v>0.74784710364731599</v>
      </c>
      <c r="E19" s="61">
        <v>0.68552651167670631</v>
      </c>
      <c r="F19" s="61">
        <v>0.62320591970609673</v>
      </c>
      <c r="G19" s="61">
        <v>0.56088532773548705</v>
      </c>
      <c r="H19" s="61">
        <v>0.49856473576487736</v>
      </c>
      <c r="I19" s="61">
        <v>0.56088532773548705</v>
      </c>
      <c r="J19" s="61">
        <v>0.62320591970609673</v>
      </c>
      <c r="K19" s="61">
        <v>0.68552651167670631</v>
      </c>
      <c r="L19" s="61">
        <v>0.74784710364731599</v>
      </c>
      <c r="M19" s="61">
        <v>0.806295926463242</v>
      </c>
    </row>
    <row r="20" spans="1:13" x14ac:dyDescent="0.25">
      <c r="A20" t="s">
        <v>202</v>
      </c>
      <c r="B20" s="62">
        <f>'Sales Budget'!C68</f>
        <v>1604606.0674000001</v>
      </c>
      <c r="C20" s="62">
        <f>'Sales Budget'!D68</f>
        <v>1604606.0674000001</v>
      </c>
      <c r="D20" s="62">
        <f>'Sales Budget'!E68</f>
        <v>1604606.0674000001</v>
      </c>
      <c r="E20" s="62">
        <f>'Sales Budget'!F68</f>
        <v>1604606.0674000001</v>
      </c>
      <c r="F20" s="62">
        <f>'Sales Budget'!G68</f>
        <v>1604606.0674000001</v>
      </c>
      <c r="G20" s="62">
        <f>'Sales Budget'!H68</f>
        <v>1604606.0674000001</v>
      </c>
      <c r="H20" s="62">
        <f>'Sales Budget'!I68</f>
        <v>1604606.0674000001</v>
      </c>
      <c r="I20" s="62">
        <f>'Sales Budget'!J68</f>
        <v>1604606.0674000001</v>
      </c>
      <c r="J20" s="62">
        <f>'Sales Budget'!K68</f>
        <v>1604606.0674000001</v>
      </c>
      <c r="K20" s="62">
        <f>'Sales Budget'!L68</f>
        <v>1604606.0674000001</v>
      </c>
      <c r="L20" s="62">
        <f>'Sales Budget'!M68</f>
        <v>1604606.0674000001</v>
      </c>
      <c r="M20" s="62">
        <f>'Sales Budget'!N68</f>
        <v>1612311.258599998</v>
      </c>
    </row>
    <row r="21" spans="1:13" x14ac:dyDescent="0.25">
      <c r="A21" t="s">
        <v>203</v>
      </c>
      <c r="B21" s="49">
        <f>B19*B20</f>
        <v>1000000.0000000001</v>
      </c>
      <c r="C21" s="49">
        <f t="shared" ref="C21:M21" si="5">C19*C20</f>
        <v>1100000</v>
      </c>
      <c r="D21" s="49">
        <f t="shared" si="5"/>
        <v>1200000</v>
      </c>
      <c r="E21" s="49">
        <f t="shared" si="5"/>
        <v>1100000</v>
      </c>
      <c r="F21" s="49">
        <f t="shared" si="5"/>
        <v>1000000.0000000001</v>
      </c>
      <c r="G21" s="49">
        <f t="shared" si="5"/>
        <v>900000</v>
      </c>
      <c r="H21" s="49">
        <f t="shared" si="5"/>
        <v>800000</v>
      </c>
      <c r="I21" s="49">
        <f t="shared" si="5"/>
        <v>900000</v>
      </c>
      <c r="J21" s="49">
        <f t="shared" si="5"/>
        <v>1000000.0000000001</v>
      </c>
      <c r="K21" s="49">
        <f t="shared" si="5"/>
        <v>1100000</v>
      </c>
      <c r="L21" s="49">
        <f t="shared" si="5"/>
        <v>1200000</v>
      </c>
      <c r="M21" s="49">
        <f t="shared" si="5"/>
        <v>1300000.0000000012</v>
      </c>
    </row>
  </sheetData>
  <phoneticPr fontId="2" type="noConversion"/>
  <hyperlinks>
    <hyperlink ref="A5" location="Instructions!L8" display="Instructions!L8"/>
  </hyperlinks>
  <pageMargins left="0.7" right="0.7" top="0.75" bottom="0.75" header="0.3" footer="0.3"/>
  <pageSetup orientation="portrait" horizontalDpi="200" verticalDpi="200" copies="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topLeftCell="A31" zoomScale="90" zoomScaleNormal="90" workbookViewId="0">
      <selection activeCell="A5" sqref="A5"/>
    </sheetView>
  </sheetViews>
  <sheetFormatPr defaultRowHeight="15" x14ac:dyDescent="0.25"/>
  <cols>
    <col min="1" max="1" width="24.7109375" customWidth="1"/>
    <col min="2" max="11" width="11.5703125" bestFit="1" customWidth="1"/>
    <col min="12" max="13" width="12.28515625" bestFit="1" customWidth="1"/>
    <col min="14" max="14" width="13.28515625" bestFit="1" customWidth="1"/>
  </cols>
  <sheetData>
    <row r="1" spans="1:14" x14ac:dyDescent="0.25">
      <c r="A1" s="64" t="s">
        <v>382</v>
      </c>
    </row>
    <row r="2" spans="1:14" x14ac:dyDescent="0.25">
      <c r="A2" s="64" t="s">
        <v>411</v>
      </c>
    </row>
    <row r="3" spans="1:14" x14ac:dyDescent="0.25">
      <c r="A3" s="64" t="s">
        <v>412</v>
      </c>
    </row>
    <row r="4" spans="1:14" x14ac:dyDescent="0.25">
      <c r="A4" s="64" t="s">
        <v>383</v>
      </c>
    </row>
    <row r="5" spans="1:14" x14ac:dyDescent="0.25">
      <c r="A5" s="36" t="str">
        <f>'Monthly Sales Worksheet'!$C$6</f>
        <v>Back to Instructions</v>
      </c>
    </row>
    <row r="6" spans="1:14" x14ac:dyDescent="0.25">
      <c r="B6" t="str">
        <f>'Monthly Sales Worksheet'!C8</f>
        <v>JAN</v>
      </c>
      <c r="C6" t="str">
        <f>'Monthly Sales Worksheet'!D8</f>
        <v>FEB</v>
      </c>
      <c r="D6" t="str">
        <f>'Monthly Sales Worksheet'!E8</f>
        <v>MAR</v>
      </c>
      <c r="E6" t="str">
        <f>'Monthly Sales Worksheet'!F8</f>
        <v>APRIL</v>
      </c>
      <c r="F6" t="str">
        <f>'Monthly Sales Worksheet'!G8</f>
        <v>MAY</v>
      </c>
      <c r="G6" t="str">
        <f>'Monthly Sales Worksheet'!H8</f>
        <v>JUN</v>
      </c>
      <c r="H6" t="str">
        <f>'Monthly Sales Worksheet'!I8</f>
        <v>JUL</v>
      </c>
      <c r="I6" t="str">
        <f>'Monthly Sales Worksheet'!J8</f>
        <v>AUG</v>
      </c>
      <c r="J6" t="str">
        <f>'Monthly Sales Worksheet'!K8</f>
        <v>SEPT</v>
      </c>
      <c r="K6" t="str">
        <f>'Monthly Sales Worksheet'!L8</f>
        <v>OCT</v>
      </c>
      <c r="L6" t="str">
        <f>'Monthly Sales Worksheet'!M8</f>
        <v>NOV</v>
      </c>
      <c r="M6" t="str">
        <f>'Monthly Sales Worksheet'!N8</f>
        <v>DEC</v>
      </c>
      <c r="N6" t="s">
        <v>339</v>
      </c>
    </row>
    <row r="7" spans="1:14" x14ac:dyDescent="0.25">
      <c r="A7" t="s">
        <v>205</v>
      </c>
    </row>
    <row r="8" spans="1:14" x14ac:dyDescent="0.25">
      <c r="A8" t="s">
        <v>206</v>
      </c>
      <c r="B8" s="25">
        <f>IF(('Acc Rec Worksheet'!M8-'Acc Rec Worksheet'!B13)&gt;0,'Acc Rec Worksheet'!M8-'Acc Rec Worksheet'!B13,0)</f>
        <v>299999.99999999988</v>
      </c>
      <c r="C8" s="25">
        <f>IF(('Acc Rec Worksheet'!B13-'Acc Rec Worksheet'!C13)&gt;0,'Acc Rec Worksheet'!B13-'Acc Rec Worksheet'!C13,0)</f>
        <v>0</v>
      </c>
      <c r="D8" s="20">
        <f>IF(('Acc Rec Worksheet'!C13-'Acc Rec Worksheet'!D13)&gt;0,'Acc Rec Worksheet'!C13-'Acc Rec Worksheet'!D13,0)</f>
        <v>0</v>
      </c>
      <c r="E8" s="20">
        <f>IF(('Acc Rec Worksheet'!D13-'Acc Rec Worksheet'!E13)&gt;0,'Acc Rec Worksheet'!D13-'Acc Rec Worksheet'!E13,0)</f>
        <v>100000</v>
      </c>
      <c r="F8" s="20">
        <f>IF(('Acc Rec Worksheet'!E13-'Acc Rec Worksheet'!F13)&gt;0,'Acc Rec Worksheet'!E13-'Acc Rec Worksheet'!F13,0)</f>
        <v>99999.999999999884</v>
      </c>
      <c r="G8" s="20">
        <f>IF(('Acc Rec Worksheet'!F13-'Acc Rec Worksheet'!G13)&gt;0,'Acc Rec Worksheet'!F13-'Acc Rec Worksheet'!G13,0)</f>
        <v>100000.00000000012</v>
      </c>
      <c r="H8" s="20">
        <f>IF(('Acc Rec Worksheet'!G13-'Acc Rec Worksheet'!H13)&gt;0,'Acc Rec Worksheet'!G13-'Acc Rec Worksheet'!H13,0)</f>
        <v>100000</v>
      </c>
      <c r="I8" s="20">
        <f>IF(('Acc Rec Worksheet'!H13-'Acc Rec Worksheet'!I13)&gt;0,'Acc Rec Worksheet'!H13-'Acc Rec Worksheet'!I13,0)</f>
        <v>0</v>
      </c>
      <c r="J8" s="20">
        <f>IF(('Acc Rec Worksheet'!I13-'Acc Rec Worksheet'!J13)&gt;0,'Acc Rec Worksheet'!I13-'Acc Rec Worksheet'!J13,0)</f>
        <v>0</v>
      </c>
      <c r="K8" s="20">
        <f>IF(('Acc Rec Worksheet'!J13-'Acc Rec Worksheet'!K13)&gt;0,'Acc Rec Worksheet'!J13-'Acc Rec Worksheet'!K13,0)</f>
        <v>0</v>
      </c>
      <c r="L8" s="20">
        <f>IF(('Acc Rec Worksheet'!K13-'Acc Rec Worksheet'!L13)&gt;0,'Acc Rec Worksheet'!K13-'Acc Rec Worksheet'!L13,0)</f>
        <v>0</v>
      </c>
      <c r="M8" s="20">
        <f>IF(('Acc Rec Worksheet'!L13-'Acc Rec Worksheet'!M13)&gt;0,'Acc Rec Worksheet'!L13-'Acc Rec Worksheet'!M13,0)</f>
        <v>0</v>
      </c>
      <c r="N8" s="20">
        <f t="shared" ref="N8:N52" si="0">SUM(B8:M8)</f>
        <v>699999.99999999988</v>
      </c>
    </row>
    <row r="9" spans="1:14" x14ac:dyDescent="0.25">
      <c r="A9" t="s">
        <v>207</v>
      </c>
      <c r="B9" s="20">
        <f>IF('Acc Rec Worksheet'!M17&gt;'Acc Rec Worksheet'!B21,'Acc Rec Worksheet'!M17-'Acc Rec Worksheet'!B21,0)</f>
        <v>299999.99999999988</v>
      </c>
      <c r="C9" s="20">
        <f>IF('Acc Rec Worksheet'!B17&gt;'Acc Rec Worksheet'!C21,'Acc Rec Worksheet'!B17-'Acc Rec Worksheet'!C17,0)</f>
        <v>0</v>
      </c>
      <c r="D9" s="20">
        <f>IF('Acc Rec Worksheet'!C17&gt;'Acc Rec Worksheet'!D21,'Acc Rec Worksheet'!C17-'Acc Rec Worksheet'!D17,0)</f>
        <v>0</v>
      </c>
      <c r="E9" s="20">
        <f>IF('Acc Rec Worksheet'!D17&gt;'Acc Rec Worksheet'!E21,'Acc Rec Worksheet'!D17-'Acc Rec Worksheet'!E17,0)</f>
        <v>100000</v>
      </c>
      <c r="F9" s="20">
        <f>IF('Acc Rec Worksheet'!E17&gt;'Acc Rec Worksheet'!F21,'Acc Rec Worksheet'!E17-'Acc Rec Worksheet'!F17,0)</f>
        <v>100000</v>
      </c>
      <c r="G9" s="20">
        <f>IF('Acc Rec Worksheet'!F17&gt;'Acc Rec Worksheet'!G21,'Acc Rec Worksheet'!F17-'Acc Rec Worksheet'!G17,0)</f>
        <v>100000</v>
      </c>
      <c r="H9" s="20">
        <f>IF('Acc Rec Worksheet'!G17&gt;'Acc Rec Worksheet'!H21,'Acc Rec Worksheet'!G17-'Acc Rec Worksheet'!H17,0)</f>
        <v>100000</v>
      </c>
      <c r="I9" s="20">
        <f>IF('Acc Rec Worksheet'!H17&gt;'Acc Rec Worksheet'!I21,'Acc Rec Worksheet'!H17-'Acc Rec Worksheet'!I17,0)</f>
        <v>0</v>
      </c>
      <c r="J9" s="20">
        <f>IF('Acc Rec Worksheet'!I17&gt;'Acc Rec Worksheet'!J21,'Acc Rec Worksheet'!I17-'Acc Rec Worksheet'!J17,0)</f>
        <v>0</v>
      </c>
      <c r="K9" s="20">
        <f>IF('Acc Rec Worksheet'!J17&gt;'Acc Rec Worksheet'!K21,'Acc Rec Worksheet'!J17-'Acc Rec Worksheet'!K17,0)</f>
        <v>0</v>
      </c>
      <c r="L9" s="20">
        <f>IF('Acc Rec Worksheet'!K17&gt;'Acc Rec Worksheet'!L21,'Acc Rec Worksheet'!K17-'Acc Rec Worksheet'!L17,0)</f>
        <v>0</v>
      </c>
      <c r="M9" s="20">
        <f>IF('Acc Rec Worksheet'!L17&gt;'Acc Rec Worksheet'!M21,'Acc Rec Worksheet'!L17-'Acc Rec Worksheet'!M17,0)</f>
        <v>0</v>
      </c>
      <c r="N9" s="20">
        <f t="shared" si="0"/>
        <v>699999.99999999988</v>
      </c>
    </row>
    <row r="10" spans="1:14" x14ac:dyDescent="0.25">
      <c r="A10" t="s">
        <v>363</v>
      </c>
      <c r="B10" s="40"/>
      <c r="C10" s="40"/>
      <c r="D10" s="40"/>
      <c r="E10" s="40"/>
      <c r="F10" s="40"/>
      <c r="G10" s="40"/>
      <c r="H10" s="40"/>
      <c r="I10" s="40"/>
      <c r="J10" s="40"/>
      <c r="K10" s="40"/>
      <c r="L10" s="40"/>
      <c r="M10" s="40"/>
      <c r="N10" s="20">
        <f t="shared" si="0"/>
        <v>0</v>
      </c>
    </row>
    <row r="11" spans="1:14" x14ac:dyDescent="0.25">
      <c r="A11" t="s">
        <v>368</v>
      </c>
      <c r="B11" s="40"/>
      <c r="C11" s="40"/>
      <c r="D11" s="40"/>
      <c r="E11" s="40"/>
      <c r="F11" s="40"/>
      <c r="G11" s="40"/>
      <c r="H11" s="40"/>
      <c r="I11" s="40"/>
      <c r="J11" s="40"/>
      <c r="K11" s="40"/>
      <c r="L11" s="40"/>
      <c r="M11" s="40"/>
      <c r="N11" s="20">
        <f t="shared" si="0"/>
        <v>0</v>
      </c>
    </row>
    <row r="12" spans="1:14" x14ac:dyDescent="0.25">
      <c r="A12" t="s">
        <v>208</v>
      </c>
      <c r="B12" s="40"/>
      <c r="C12" s="40"/>
      <c r="D12" s="40"/>
      <c r="E12" s="40"/>
      <c r="F12" s="40"/>
      <c r="G12" s="40"/>
      <c r="H12" s="40"/>
      <c r="I12" s="40"/>
      <c r="J12" s="40"/>
      <c r="K12" s="40"/>
      <c r="L12" s="40"/>
      <c r="M12" s="40"/>
      <c r="N12" s="20">
        <f t="shared" si="0"/>
        <v>0</v>
      </c>
    </row>
    <row r="13" spans="1:14" x14ac:dyDescent="0.25">
      <c r="A13" t="s">
        <v>359</v>
      </c>
      <c r="B13" s="40"/>
      <c r="C13" s="40"/>
      <c r="D13" s="40"/>
      <c r="E13" s="40"/>
      <c r="F13" s="40"/>
      <c r="G13" s="40"/>
      <c r="H13" s="40"/>
      <c r="I13" s="40"/>
      <c r="J13" s="40"/>
      <c r="K13" s="40"/>
      <c r="L13" s="40"/>
      <c r="M13" s="40"/>
      <c r="N13" s="20">
        <f t="shared" si="0"/>
        <v>0</v>
      </c>
    </row>
    <row r="14" spans="1:14" x14ac:dyDescent="0.25">
      <c r="A14" t="s">
        <v>370</v>
      </c>
      <c r="B14" s="40"/>
      <c r="C14" s="40"/>
      <c r="D14" s="40"/>
      <c r="E14" s="40"/>
      <c r="F14" s="40"/>
      <c r="G14" s="40"/>
      <c r="H14" s="40"/>
      <c r="I14" s="40"/>
      <c r="J14" s="40"/>
      <c r="K14" s="40"/>
      <c r="L14" s="40"/>
      <c r="M14" s="40"/>
      <c r="N14" s="20">
        <f t="shared" si="0"/>
        <v>0</v>
      </c>
    </row>
    <row r="15" spans="1:14" x14ac:dyDescent="0.25">
      <c r="A15" s="44" t="s">
        <v>347</v>
      </c>
      <c r="B15" s="40"/>
      <c r="C15" s="40"/>
      <c r="D15" s="40"/>
      <c r="E15" s="40"/>
      <c r="F15" s="40"/>
      <c r="G15" s="40"/>
      <c r="H15" s="40"/>
      <c r="I15" s="40"/>
      <c r="J15" s="40"/>
      <c r="K15" s="40"/>
      <c r="L15" s="40"/>
      <c r="M15" s="40"/>
      <c r="N15" s="20">
        <f t="shared" si="0"/>
        <v>0</v>
      </c>
    </row>
    <row r="16" spans="1:14" x14ac:dyDescent="0.25">
      <c r="A16" s="44" t="s">
        <v>348</v>
      </c>
      <c r="B16" s="40"/>
      <c r="C16" s="40"/>
      <c r="D16" s="40"/>
      <c r="E16" s="40"/>
      <c r="F16" s="40"/>
      <c r="G16" s="40"/>
      <c r="H16" s="40"/>
      <c r="I16" s="40"/>
      <c r="J16" s="40"/>
      <c r="K16" s="40"/>
      <c r="L16" s="40"/>
      <c r="M16" s="40"/>
      <c r="N16" s="20"/>
    </row>
    <row r="17" spans="1:15" x14ac:dyDescent="0.25">
      <c r="A17" s="44" t="s">
        <v>349</v>
      </c>
      <c r="B17" s="40"/>
      <c r="C17" s="40"/>
      <c r="D17" s="40"/>
      <c r="E17" s="40"/>
      <c r="F17" s="40"/>
      <c r="G17" s="40"/>
      <c r="H17" s="40"/>
      <c r="I17" s="40"/>
      <c r="J17" s="40"/>
      <c r="K17" s="40"/>
      <c r="L17" s="40"/>
      <c r="M17" s="40"/>
      <c r="N17" s="20"/>
    </row>
    <row r="18" spans="1:15" x14ac:dyDescent="0.25">
      <c r="A18" s="44" t="s">
        <v>350</v>
      </c>
      <c r="B18" s="40"/>
      <c r="C18" s="40"/>
      <c r="D18" s="40"/>
      <c r="E18" s="40"/>
      <c r="F18" s="40"/>
      <c r="G18" s="40"/>
      <c r="H18" s="40"/>
      <c r="I18" s="40"/>
      <c r="J18" s="40"/>
      <c r="K18" s="40"/>
      <c r="L18" s="40"/>
      <c r="M18" s="40"/>
      <c r="N18" s="20"/>
    </row>
    <row r="19" spans="1:15" x14ac:dyDescent="0.25">
      <c r="A19" t="s">
        <v>351</v>
      </c>
      <c r="B19" s="22">
        <f>SUM(B15:B18)</f>
        <v>0</v>
      </c>
      <c r="C19" s="22">
        <f t="shared" ref="C19:M19" si="1">SUM(C15:C18)</f>
        <v>0</v>
      </c>
      <c r="D19" s="22">
        <f t="shared" si="1"/>
        <v>0</v>
      </c>
      <c r="E19" s="22">
        <f t="shared" si="1"/>
        <v>0</v>
      </c>
      <c r="F19" s="22">
        <f t="shared" si="1"/>
        <v>0</v>
      </c>
      <c r="G19" s="22">
        <f t="shared" si="1"/>
        <v>0</v>
      </c>
      <c r="H19" s="22">
        <f t="shared" si="1"/>
        <v>0</v>
      </c>
      <c r="I19" s="22">
        <f t="shared" si="1"/>
        <v>0</v>
      </c>
      <c r="J19" s="22">
        <f t="shared" si="1"/>
        <v>0</v>
      </c>
      <c r="K19" s="22">
        <f t="shared" si="1"/>
        <v>0</v>
      </c>
      <c r="L19" s="22">
        <f t="shared" si="1"/>
        <v>0</v>
      </c>
      <c r="M19" s="22">
        <f t="shared" si="1"/>
        <v>0</v>
      </c>
      <c r="N19" s="20"/>
    </row>
    <row r="20" spans="1:15" x14ac:dyDescent="0.25">
      <c r="A20" t="s">
        <v>209</v>
      </c>
      <c r="B20" s="55">
        <f>IF('Profit Summary'!B9&gt;0,'Profit Summary'!B9,0)</f>
        <v>51191.833220200089</v>
      </c>
      <c r="C20" s="55">
        <f>IF('Profit Summary'!C9&gt;0,'Profit Summary'!C9,0)</f>
        <v>0</v>
      </c>
      <c r="D20" s="55">
        <f>IF('Profit Summary'!D9&gt;0,'Profit Summary'!D9,0)</f>
        <v>0</v>
      </c>
      <c r="E20" s="55">
        <f>IF('Profit Summary'!E9&gt;0,'Profit Summary'!E9,0)</f>
        <v>0</v>
      </c>
      <c r="F20" s="55">
        <f>IF('Profit Summary'!F9&gt;0,'Profit Summary'!F9,0)</f>
        <v>0</v>
      </c>
      <c r="G20" s="55">
        <f>IF('Profit Summary'!G9&gt;0,'Profit Summary'!G9,0)</f>
        <v>51191.833220200089</v>
      </c>
      <c r="H20" s="55">
        <f>IF('Profit Summary'!H9&gt;0,'Profit Summary'!H9,0)</f>
        <v>51191.833220200089</v>
      </c>
      <c r="I20" s="55">
        <f>IF('Profit Summary'!I9&gt;0,'Profit Summary'!I9,0)</f>
        <v>51191.833220200089</v>
      </c>
      <c r="J20" s="55">
        <f>IF('Profit Summary'!J9&gt;0,'Profit Summary'!J9,0)</f>
        <v>99491.833220200089</v>
      </c>
      <c r="K20" s="55">
        <f>IF('Profit Summary'!K9&gt;0,'Profit Summary'!K9,0)</f>
        <v>47166.833220200089</v>
      </c>
      <c r="L20" s="55">
        <f>IF('Profit Summary'!L9&gt;0,'Profit Summary'!L9,0)</f>
        <v>43141.833220200089</v>
      </c>
      <c r="M20" s="55">
        <f>IF('Profit Summary'!M9&gt;0,'Profit Summary'!M9,0)</f>
        <v>0</v>
      </c>
      <c r="N20" s="20">
        <f t="shared" si="0"/>
        <v>394567.83254140062</v>
      </c>
      <c r="O20" s="14"/>
    </row>
    <row r="21" spans="1:15" x14ac:dyDescent="0.25">
      <c r="A21" t="s">
        <v>210</v>
      </c>
      <c r="B21" s="20">
        <f>'Income Budget'!C87</f>
        <v>100000</v>
      </c>
      <c r="C21" s="20">
        <f>'Income Budget'!D87</f>
        <v>0</v>
      </c>
      <c r="D21" s="20">
        <f>'Income Budget'!E87</f>
        <v>0</v>
      </c>
      <c r="E21" s="20">
        <f>'Income Budget'!F87</f>
        <v>0</v>
      </c>
      <c r="F21" s="20">
        <f>'Income Budget'!G87</f>
        <v>0</v>
      </c>
      <c r="G21" s="20">
        <f>'Income Budget'!H87</f>
        <v>0</v>
      </c>
      <c r="H21" s="20">
        <f>'Income Budget'!I87</f>
        <v>0</v>
      </c>
      <c r="I21" s="20">
        <f>'Income Budget'!J87</f>
        <v>0</v>
      </c>
      <c r="J21" s="20">
        <f>'Income Budget'!K87</f>
        <v>0</v>
      </c>
      <c r="K21" s="20">
        <f>'Income Budget'!L87</f>
        <v>0</v>
      </c>
      <c r="L21" s="20">
        <f>'Income Budget'!M87</f>
        <v>0</v>
      </c>
      <c r="M21" s="20">
        <f>'Income Budget'!N87</f>
        <v>0</v>
      </c>
      <c r="N21" s="20">
        <f t="shared" si="0"/>
        <v>100000</v>
      </c>
    </row>
    <row r="22" spans="1:15" x14ac:dyDescent="0.25">
      <c r="A22" t="s">
        <v>91</v>
      </c>
      <c r="B22" s="20">
        <f>+'Expense budget'!C31</f>
        <v>49179.237099999998</v>
      </c>
      <c r="C22" s="20">
        <f>+'Expense budget'!D31</f>
        <v>49179.237099999998</v>
      </c>
      <c r="D22" s="20">
        <f>+'Expense budget'!E31</f>
        <v>49179.237099999998</v>
      </c>
      <c r="E22" s="20">
        <f>+'Expense budget'!F31</f>
        <v>49179.237099999998</v>
      </c>
      <c r="F22" s="20">
        <f>+'Expense budget'!G31</f>
        <v>49179.237099999998</v>
      </c>
      <c r="G22" s="20">
        <f>+'Expense budget'!H31</f>
        <v>49179.237099999998</v>
      </c>
      <c r="H22" s="20">
        <f>+'Expense budget'!I31</f>
        <v>49179.237099999998</v>
      </c>
      <c r="I22" s="20">
        <f>+'Expense budget'!J31</f>
        <v>49179.237099999998</v>
      </c>
      <c r="J22" s="20">
        <f>+'Expense budget'!K31</f>
        <v>49179.237099999998</v>
      </c>
      <c r="K22" s="20">
        <f>+'Expense budget'!L31</f>
        <v>49179.237099999998</v>
      </c>
      <c r="L22" s="20">
        <f>+'Expense budget'!M31</f>
        <v>49179.237099999998</v>
      </c>
      <c r="M22" s="20">
        <f>+'Expense budget'!N31</f>
        <v>49415.39189999993</v>
      </c>
      <c r="N22" s="20">
        <f t="shared" si="0"/>
        <v>590387</v>
      </c>
    </row>
    <row r="23" spans="1:15" x14ac:dyDescent="0.25">
      <c r="A23" t="s">
        <v>358</v>
      </c>
      <c r="B23" s="40"/>
      <c r="C23" s="40"/>
      <c r="D23" s="40"/>
      <c r="E23" s="40"/>
      <c r="F23" s="40"/>
      <c r="G23" s="40"/>
      <c r="H23" s="40"/>
      <c r="I23" s="40"/>
      <c r="J23" s="40"/>
      <c r="K23" s="40"/>
      <c r="L23" s="40"/>
      <c r="M23" s="40"/>
      <c r="N23" s="20">
        <f>'Balance sheet'!E13</f>
        <v>0</v>
      </c>
    </row>
    <row r="24" spans="1:15" x14ac:dyDescent="0.25">
      <c r="A24" t="s">
        <v>226</v>
      </c>
      <c r="B24" s="40"/>
      <c r="C24" s="40"/>
      <c r="D24" s="40"/>
      <c r="E24" s="40"/>
      <c r="F24" s="40"/>
      <c r="G24" s="40"/>
      <c r="H24" s="40"/>
      <c r="I24" s="40"/>
      <c r="J24" s="40"/>
      <c r="K24" s="40"/>
      <c r="L24" s="40"/>
      <c r="M24" s="40"/>
      <c r="N24" s="20">
        <f t="shared" si="0"/>
        <v>0</v>
      </c>
    </row>
    <row r="25" spans="1:15" x14ac:dyDescent="0.25">
      <c r="A25" t="s">
        <v>365</v>
      </c>
      <c r="B25" s="40"/>
      <c r="C25" s="40"/>
      <c r="D25" s="40"/>
      <c r="E25" s="40"/>
      <c r="F25" s="40"/>
      <c r="G25" s="40"/>
      <c r="H25" s="40"/>
      <c r="I25" s="40"/>
      <c r="J25" s="40"/>
      <c r="K25" s="40"/>
      <c r="L25" s="40"/>
      <c r="M25" s="40"/>
      <c r="N25" s="20">
        <f t="shared" si="0"/>
        <v>0</v>
      </c>
    </row>
    <row r="26" spans="1:15" x14ac:dyDescent="0.25">
      <c r="A26" t="s">
        <v>212</v>
      </c>
      <c r="B26" s="40"/>
      <c r="C26" s="40"/>
      <c r="D26" s="40"/>
      <c r="E26" s="40"/>
      <c r="F26" s="40"/>
      <c r="G26" s="40"/>
      <c r="H26" s="40"/>
      <c r="I26" s="40"/>
      <c r="J26" s="40"/>
      <c r="K26" s="40"/>
      <c r="L26" s="40"/>
      <c r="M26" s="40"/>
      <c r="N26" s="20">
        <f t="shared" si="0"/>
        <v>0</v>
      </c>
    </row>
    <row r="27" spans="1:15" x14ac:dyDescent="0.25">
      <c r="A27" t="s">
        <v>225</v>
      </c>
      <c r="B27" s="20">
        <f>SUM(B8:B26)</f>
        <v>800371.07032019994</v>
      </c>
      <c r="C27" s="20">
        <f t="shared" ref="C27:M27" si="2">SUM(C8:C26)</f>
        <v>49179.237099999998</v>
      </c>
      <c r="D27" s="20">
        <f t="shared" si="2"/>
        <v>49179.237099999998</v>
      </c>
      <c r="E27" s="20">
        <f t="shared" si="2"/>
        <v>249179.2371</v>
      </c>
      <c r="F27" s="20">
        <f t="shared" si="2"/>
        <v>249179.23709999988</v>
      </c>
      <c r="G27" s="20">
        <f t="shared" si="2"/>
        <v>300371.07032020018</v>
      </c>
      <c r="H27" s="20">
        <f t="shared" si="2"/>
        <v>300371.07032020006</v>
      </c>
      <c r="I27" s="20">
        <f t="shared" si="2"/>
        <v>100371.07032020009</v>
      </c>
      <c r="J27" s="20">
        <f t="shared" si="2"/>
        <v>148671.07032020009</v>
      </c>
      <c r="K27" s="20">
        <f t="shared" si="2"/>
        <v>96346.070320200088</v>
      </c>
      <c r="L27" s="20">
        <f t="shared" si="2"/>
        <v>92321.070320200088</v>
      </c>
      <c r="M27" s="20">
        <f t="shared" si="2"/>
        <v>49415.39189999993</v>
      </c>
      <c r="N27" s="20">
        <f t="shared" si="0"/>
        <v>2484954.8325414006</v>
      </c>
    </row>
    <row r="28" spans="1:15" x14ac:dyDescent="0.25">
      <c r="A28" t="s">
        <v>213</v>
      </c>
      <c r="B28" s="20"/>
      <c r="C28" s="20"/>
      <c r="D28" s="20"/>
      <c r="E28" s="20"/>
      <c r="F28" s="20"/>
      <c r="G28" s="20"/>
      <c r="H28" s="20"/>
      <c r="I28" s="20"/>
      <c r="J28" s="20"/>
      <c r="K28" s="20"/>
      <c r="L28" s="20"/>
      <c r="M28" s="20"/>
      <c r="N28" s="20">
        <f t="shared" si="0"/>
        <v>0</v>
      </c>
    </row>
    <row r="29" spans="1:15" x14ac:dyDescent="0.25">
      <c r="A29" t="s">
        <v>214</v>
      </c>
      <c r="B29" s="25">
        <f>IF(('Acc Rec Worksheet'!M8-'Acc Rec Worksheet'!B13)&lt;0,'Acc Rec Worksheet'!B13-'Acc Rec Worksheet'!M8,0)</f>
        <v>0</v>
      </c>
      <c r="C29" s="25">
        <f>IF(('Acc Rec Worksheet'!C13-'Acc Rec Worksheet'!B13)&gt;0,'Acc Rec Worksheet'!C13-'Acc Rec Worksheet'!B13,0)</f>
        <v>99999.999999999884</v>
      </c>
      <c r="D29" s="25">
        <f>IF(('Acc Rec Worksheet'!D13-'Acc Rec Worksheet'!C13)&gt;0,'Acc Rec Worksheet'!D13-'Acc Rec Worksheet'!C13,0)</f>
        <v>100000</v>
      </c>
      <c r="E29" s="25">
        <f>IF(('Acc Rec Worksheet'!E13-'Acc Rec Worksheet'!D13)&gt;0,'Acc Rec Worksheet'!E13-'Acc Rec Worksheet'!D13,0)</f>
        <v>0</v>
      </c>
      <c r="F29" s="25">
        <f>IF(('Acc Rec Worksheet'!F13-'Acc Rec Worksheet'!E13)&gt;0,'Acc Rec Worksheet'!F13-'Acc Rec Worksheet'!E13,0)</f>
        <v>0</v>
      </c>
      <c r="G29" s="25">
        <f>IF(('Acc Rec Worksheet'!G13-'Acc Rec Worksheet'!F13)&gt;0,'Acc Rec Worksheet'!G13-'Acc Rec Worksheet'!F13,0)</f>
        <v>0</v>
      </c>
      <c r="H29" s="25">
        <f>IF(('Acc Rec Worksheet'!H13-'Acc Rec Worksheet'!G13)&gt;0,'Acc Rec Worksheet'!H13-'Acc Rec Worksheet'!G13,0)</f>
        <v>0</v>
      </c>
      <c r="I29" s="25">
        <f>IF(('Acc Rec Worksheet'!I13-'Acc Rec Worksheet'!H13)&gt;0,'Acc Rec Worksheet'!I13-'Acc Rec Worksheet'!H13,0)</f>
        <v>100000</v>
      </c>
      <c r="J29" s="25">
        <f>IF(('Acc Rec Worksheet'!J13-'Acc Rec Worksheet'!I13)&gt;0,'Acc Rec Worksheet'!J13-'Acc Rec Worksheet'!I13,0)</f>
        <v>100000.00000000012</v>
      </c>
      <c r="K29" s="25">
        <f>IF(('Acc Rec Worksheet'!K13-'Acc Rec Worksheet'!J13)&gt;0,'Acc Rec Worksheet'!K13-'Acc Rec Worksheet'!J13,0)</f>
        <v>99999.999999999884</v>
      </c>
      <c r="L29" s="25">
        <f>IF(('Acc Rec Worksheet'!L13-'Acc Rec Worksheet'!K13)&gt;0,'Acc Rec Worksheet'!L13-'Acc Rec Worksheet'!K13,0)</f>
        <v>100000</v>
      </c>
      <c r="M29" s="25">
        <f>IF(('Acc Rec Worksheet'!M13-'Acc Rec Worksheet'!L13)&gt;0,'Acc Rec Worksheet'!M13-'Acc Rec Worksheet'!L13,0)</f>
        <v>100000.00000000116</v>
      </c>
      <c r="N29" s="20">
        <f t="shared" si="0"/>
        <v>700000.00000000105</v>
      </c>
    </row>
    <row r="30" spans="1:15" x14ac:dyDescent="0.25">
      <c r="A30" t="s">
        <v>215</v>
      </c>
      <c r="B30" s="25">
        <f>IF(('Acc Rec Worksheet'!M17-'Acc Rec Worksheet'!B21)&lt;0,'Acc Rec Worksheet'!B21-'Acc Rec Worksheet'!M17,0)</f>
        <v>0</v>
      </c>
      <c r="C30" s="25">
        <f>IF(('Acc Rec Worksheet'!C21-'Acc Rec Worksheet'!B21)&gt;0,'Acc Rec Worksheet'!C21-'Acc Rec Worksheet'!B21,0)</f>
        <v>99999.999999999884</v>
      </c>
      <c r="D30" s="25">
        <f>IF(('Acc Rec Worksheet'!D21-'Acc Rec Worksheet'!C21)&gt;0,'Acc Rec Worksheet'!D21-'Acc Rec Worksheet'!C21,0)</f>
        <v>100000</v>
      </c>
      <c r="E30" s="25">
        <f>IF(('Acc Rec Worksheet'!E21-'Acc Rec Worksheet'!D21)&gt;0,'Acc Rec Worksheet'!E21-'Acc Rec Worksheet'!D21,0)</f>
        <v>0</v>
      </c>
      <c r="F30" s="25">
        <f>IF(('Acc Rec Worksheet'!F21-'Acc Rec Worksheet'!E21)&gt;0,'Acc Rec Worksheet'!F21-'Acc Rec Worksheet'!E21,0)</f>
        <v>0</v>
      </c>
      <c r="G30" s="25">
        <f>IF(('Acc Rec Worksheet'!G21-'Acc Rec Worksheet'!F21)&gt;0,'Acc Rec Worksheet'!G21-'Acc Rec Worksheet'!F21,0)</f>
        <v>0</v>
      </c>
      <c r="H30" s="25">
        <f>IF(('Acc Rec Worksheet'!H21-'Acc Rec Worksheet'!G21)&gt;0,'Acc Rec Worksheet'!H21-'Acc Rec Worksheet'!G21,0)</f>
        <v>0</v>
      </c>
      <c r="I30" s="25">
        <f>IF(('Acc Rec Worksheet'!I21-'Acc Rec Worksheet'!H21)&gt;0,'Acc Rec Worksheet'!I21-'Acc Rec Worksheet'!H21,0)</f>
        <v>100000</v>
      </c>
      <c r="J30" s="25">
        <f>IF(('Acc Rec Worksheet'!J21-'Acc Rec Worksheet'!I21)&gt;0,'Acc Rec Worksheet'!J21-'Acc Rec Worksheet'!I21,0)</f>
        <v>100000.00000000012</v>
      </c>
      <c r="K30" s="25">
        <f>IF(('Acc Rec Worksheet'!K21-'Acc Rec Worksheet'!J21)&gt;0,'Acc Rec Worksheet'!K21-'Acc Rec Worksheet'!J21,0)</f>
        <v>99999.999999999884</v>
      </c>
      <c r="L30" s="25">
        <f>IF(('Acc Rec Worksheet'!L21-'Acc Rec Worksheet'!K21)&gt;0,'Acc Rec Worksheet'!L21-'Acc Rec Worksheet'!K21,0)</f>
        <v>100000</v>
      </c>
      <c r="M30" s="25">
        <f>IF(('Acc Rec Worksheet'!M21-'Acc Rec Worksheet'!L21)&gt;0,'Acc Rec Worksheet'!M21-'Acc Rec Worksheet'!L21,0)</f>
        <v>100000.00000000116</v>
      </c>
      <c r="N30" s="20">
        <f t="shared" si="0"/>
        <v>700000.00000000105</v>
      </c>
    </row>
    <row r="31" spans="1:15" x14ac:dyDescent="0.25">
      <c r="A31" t="s">
        <v>364</v>
      </c>
      <c r="B31" s="40"/>
      <c r="C31" s="40"/>
      <c r="D31" s="40"/>
      <c r="E31" s="40"/>
      <c r="F31" s="40"/>
      <c r="G31" s="40"/>
      <c r="H31" s="40"/>
      <c r="I31" s="40"/>
      <c r="J31" s="40"/>
      <c r="K31" s="40"/>
      <c r="L31" s="40"/>
      <c r="M31" s="40"/>
      <c r="N31" s="20">
        <f t="shared" si="0"/>
        <v>0</v>
      </c>
    </row>
    <row r="32" spans="1:15" x14ac:dyDescent="0.25">
      <c r="A32" t="s">
        <v>369</v>
      </c>
      <c r="B32" s="40"/>
      <c r="C32" s="40"/>
      <c r="D32" s="40"/>
      <c r="E32" s="40"/>
      <c r="F32" s="40"/>
      <c r="G32" s="40"/>
      <c r="H32" s="40"/>
      <c r="I32" s="40"/>
      <c r="J32" s="40"/>
      <c r="K32" s="40"/>
      <c r="L32" s="40"/>
      <c r="M32" s="40"/>
      <c r="N32" s="20">
        <f t="shared" si="0"/>
        <v>0</v>
      </c>
    </row>
    <row r="33" spans="1:16" x14ac:dyDescent="0.25">
      <c r="A33" t="s">
        <v>216</v>
      </c>
      <c r="B33" s="20">
        <f>'Fixed Asset Worksheet'!B4</f>
        <v>0</v>
      </c>
      <c r="C33" s="20">
        <f>'Fixed Asset Worksheet'!C4</f>
        <v>0</v>
      </c>
      <c r="D33" s="20">
        <f>'Fixed Asset Worksheet'!D4</f>
        <v>0</v>
      </c>
      <c r="E33" s="20">
        <f>'Fixed Asset Worksheet'!E4</f>
        <v>0</v>
      </c>
      <c r="F33" s="20">
        <f>'Fixed Asset Worksheet'!F4</f>
        <v>0</v>
      </c>
      <c r="G33" s="20">
        <f>'Fixed Asset Worksheet'!G4</f>
        <v>250000</v>
      </c>
      <c r="H33" s="20">
        <f>'Fixed Asset Worksheet'!H4</f>
        <v>0</v>
      </c>
      <c r="I33" s="20">
        <f>'Fixed Asset Worksheet'!I4</f>
        <v>0</v>
      </c>
      <c r="J33" s="20">
        <f>'Fixed Asset Worksheet'!J4</f>
        <v>0</v>
      </c>
      <c r="K33" s="20">
        <f>'Fixed Asset Worksheet'!K4</f>
        <v>0</v>
      </c>
      <c r="L33" s="20">
        <f>'Fixed Asset Worksheet'!L4</f>
        <v>0</v>
      </c>
      <c r="M33" s="20">
        <f>'Fixed Asset Worksheet'!M4</f>
        <v>0</v>
      </c>
      <c r="N33" s="20">
        <f t="shared" si="0"/>
        <v>250000</v>
      </c>
    </row>
    <row r="34" spans="1:16" x14ac:dyDescent="0.25">
      <c r="A34" t="s">
        <v>217</v>
      </c>
      <c r="B34" s="40"/>
      <c r="C34" s="40"/>
      <c r="D34" s="40"/>
      <c r="E34" s="40"/>
      <c r="F34" s="40"/>
      <c r="G34" s="40"/>
      <c r="H34" s="40"/>
      <c r="I34" s="40"/>
      <c r="J34" s="40"/>
      <c r="K34" s="40"/>
      <c r="L34" s="40"/>
      <c r="M34" s="40"/>
      <c r="N34" s="20">
        <f t="shared" si="0"/>
        <v>0</v>
      </c>
    </row>
    <row r="35" spans="1:16" x14ac:dyDescent="0.25">
      <c r="A35" t="s">
        <v>360</v>
      </c>
      <c r="B35" s="40"/>
      <c r="C35" s="40"/>
      <c r="D35" s="40"/>
      <c r="E35" s="40"/>
      <c r="F35" s="40"/>
      <c r="G35" s="40"/>
      <c r="H35" s="40"/>
      <c r="I35" s="40"/>
      <c r="J35" s="40"/>
      <c r="K35" s="40"/>
      <c r="L35" s="40"/>
      <c r="M35" s="40"/>
      <c r="N35" s="20">
        <f t="shared" si="0"/>
        <v>0</v>
      </c>
    </row>
    <row r="36" spans="1:16" x14ac:dyDescent="0.25">
      <c r="A36" t="s">
        <v>218</v>
      </c>
      <c r="B36" s="55">
        <f>IF('Profit Summary'!B9&lt;0,-'Profit Summary'!B9,0)</f>
        <v>0</v>
      </c>
      <c r="C36" s="20">
        <f>IF('Profit Summary'!C9&lt;0,-'Profit Summary'!C9,0)</f>
        <v>1133.1667797999107</v>
      </c>
      <c r="D36" s="20">
        <f>IF('Profit Summary'!D9&lt;0,-'Profit Summary'!D9,0)</f>
        <v>1133.1667797999107</v>
      </c>
      <c r="E36" s="20">
        <f>IF('Profit Summary'!E9&lt;0,-'Profit Summary'!E9,0)</f>
        <v>1133.1667797999107</v>
      </c>
      <c r="F36" s="20">
        <f>IF('Profit Summary'!F9&lt;0,-'Profit Summary'!F9,0)</f>
        <v>1133.1667797999107</v>
      </c>
      <c r="G36" s="20">
        <f>IF('Profit Summary'!G9&lt;0,-'Profit Summary'!G9,0)</f>
        <v>0</v>
      </c>
      <c r="H36" s="20">
        <f>IF('Profit Summary'!H9&lt;0,-'Profit Summary'!H9,0)</f>
        <v>0</v>
      </c>
      <c r="I36" s="20">
        <f>IF('Profit Summary'!I9&lt;0,-'Profit Summary'!I9,0)</f>
        <v>0</v>
      </c>
      <c r="J36" s="20">
        <f>IF('Profit Summary'!J9&lt;0,-'Profit Summary'!J9,0)</f>
        <v>0</v>
      </c>
      <c r="K36" s="20">
        <f>IF('Profit Summary'!K9&lt;0,-'Profit Summary'!K9,0)</f>
        <v>0</v>
      </c>
      <c r="L36" s="20">
        <f>IF('Profit Summary'!L9&lt;0,-'Profit Summary'!L9,0)</f>
        <v>0</v>
      </c>
      <c r="M36" s="20">
        <f>IF('Profit Summary'!M9&lt;0,-'Profit Summary'!M9,0)</f>
        <v>1546.7714222000795</v>
      </c>
      <c r="N36" s="20">
        <f t="shared" si="0"/>
        <v>6079.4385413997225</v>
      </c>
    </row>
    <row r="37" spans="1:16" x14ac:dyDescent="0.25">
      <c r="A37" s="44" t="s">
        <v>326</v>
      </c>
      <c r="B37" s="40"/>
      <c r="C37" s="40"/>
      <c r="D37" s="40"/>
      <c r="E37" s="40">
        <v>250000</v>
      </c>
      <c r="F37" s="40"/>
      <c r="G37" s="40"/>
      <c r="H37" s="40"/>
      <c r="I37" s="40">
        <v>250000</v>
      </c>
      <c r="J37" s="40"/>
      <c r="K37" s="40"/>
      <c r="L37" s="40"/>
      <c r="M37" s="40"/>
      <c r="N37" s="20">
        <f t="shared" si="0"/>
        <v>500000</v>
      </c>
    </row>
    <row r="38" spans="1:16" x14ac:dyDescent="0.25">
      <c r="A38" s="44" t="s">
        <v>327</v>
      </c>
      <c r="B38" s="40"/>
      <c r="C38" s="40"/>
      <c r="D38" s="40"/>
      <c r="E38" s="40"/>
      <c r="F38" s="40"/>
      <c r="G38" s="40"/>
      <c r="H38" s="40"/>
      <c r="I38" s="40"/>
      <c r="J38" s="40"/>
      <c r="K38" s="40"/>
      <c r="L38" s="40"/>
      <c r="M38" s="40"/>
      <c r="N38" s="20">
        <f t="shared" si="0"/>
        <v>0</v>
      </c>
    </row>
    <row r="39" spans="1:16" x14ac:dyDescent="0.25">
      <c r="A39" s="44" t="s">
        <v>328</v>
      </c>
      <c r="B39" s="40"/>
      <c r="C39" s="40"/>
      <c r="D39" s="40"/>
      <c r="E39" s="40"/>
      <c r="F39" s="40"/>
      <c r="G39" s="40"/>
      <c r="H39" s="40"/>
      <c r="I39" s="40"/>
      <c r="J39" s="40"/>
      <c r="K39" s="40"/>
      <c r="L39" s="40"/>
      <c r="M39" s="40"/>
      <c r="N39" s="20">
        <f t="shared" si="0"/>
        <v>0</v>
      </c>
    </row>
    <row r="40" spans="1:16" x14ac:dyDescent="0.25">
      <c r="A40" s="44" t="s">
        <v>329</v>
      </c>
      <c r="B40" s="40"/>
      <c r="C40" s="40"/>
      <c r="D40" s="40"/>
      <c r="E40" s="40"/>
      <c r="F40" s="40"/>
      <c r="G40" s="40"/>
      <c r="H40" s="40"/>
      <c r="I40" s="40"/>
      <c r="J40" s="40"/>
      <c r="K40" s="40"/>
      <c r="L40" s="40"/>
      <c r="M40" s="40"/>
      <c r="N40" s="20">
        <f t="shared" si="0"/>
        <v>0</v>
      </c>
    </row>
    <row r="41" spans="1:16" x14ac:dyDescent="0.25">
      <c r="A41" t="s">
        <v>352</v>
      </c>
      <c r="B41" s="22"/>
      <c r="C41" s="22"/>
      <c r="D41" s="22"/>
      <c r="E41" s="22"/>
      <c r="F41" s="22"/>
      <c r="G41" s="22"/>
      <c r="H41" s="22"/>
      <c r="I41" s="22"/>
      <c r="J41" s="22"/>
      <c r="K41" s="22"/>
      <c r="L41" s="22"/>
      <c r="M41" s="22"/>
      <c r="N41" s="20"/>
    </row>
    <row r="42" spans="1:16" x14ac:dyDescent="0.25">
      <c r="A42" t="s">
        <v>367</v>
      </c>
      <c r="B42" s="40"/>
      <c r="C42" s="40"/>
      <c r="D42" s="40"/>
      <c r="E42" s="40"/>
      <c r="F42" s="40"/>
      <c r="G42" s="40"/>
      <c r="H42" s="40"/>
      <c r="I42" s="40"/>
      <c r="J42" s="40"/>
      <c r="K42" s="40"/>
      <c r="L42" s="40"/>
      <c r="M42" s="40"/>
      <c r="N42" s="20">
        <f t="shared" si="0"/>
        <v>0</v>
      </c>
      <c r="P42" s="14"/>
    </row>
    <row r="43" spans="1:16" x14ac:dyDescent="0.25">
      <c r="A43" t="s">
        <v>285</v>
      </c>
      <c r="B43" s="22">
        <f>'Income Budget'!C87*'Prior year summary'!$H$126</f>
        <v>70000</v>
      </c>
      <c r="C43" s="22">
        <f>'Income Budget'!D87*'Prior year summary'!$D$126</f>
        <v>0</v>
      </c>
      <c r="D43" s="22">
        <f>'Income Budget'!E87*'Prior year summary'!$D$126</f>
        <v>0</v>
      </c>
      <c r="E43" s="22">
        <f>'Income Budget'!F87*'Prior year summary'!$D$126</f>
        <v>0</v>
      </c>
      <c r="F43" s="22">
        <f>'Income Budget'!G87*'Prior year summary'!$D$126</f>
        <v>0</v>
      </c>
      <c r="G43" s="22">
        <f>'Income Budget'!H87*'Prior year summary'!$D$126</f>
        <v>0</v>
      </c>
      <c r="H43" s="22">
        <f>'Income Budget'!I87*'Prior year summary'!$D$126</f>
        <v>0</v>
      </c>
      <c r="I43" s="22">
        <f>'Income Budget'!J87*'Prior year summary'!$D$126</f>
        <v>0</v>
      </c>
      <c r="J43" s="22">
        <f>'Income Budget'!K87*'Prior year summary'!$D$126</f>
        <v>0</v>
      </c>
      <c r="K43" s="22">
        <f>'Income Budget'!L87*'Prior year summary'!$D$126</f>
        <v>0</v>
      </c>
      <c r="L43" s="22">
        <f>'Income Budget'!M87*'Prior year summary'!$D$126</f>
        <v>0</v>
      </c>
      <c r="M43" s="22">
        <f>'Income Budget'!N87*'Prior year summary'!$D$126</f>
        <v>0</v>
      </c>
      <c r="N43" s="20">
        <f t="shared" si="0"/>
        <v>70000</v>
      </c>
      <c r="P43" s="14"/>
    </row>
    <row r="44" spans="1:16" x14ac:dyDescent="0.25">
      <c r="A44" t="s">
        <v>366</v>
      </c>
      <c r="B44" s="22"/>
      <c r="C44" s="22"/>
      <c r="D44" s="22"/>
      <c r="E44" s="22"/>
      <c r="F44" s="22"/>
      <c r="G44" s="22"/>
      <c r="H44" s="22"/>
      <c r="I44" s="22"/>
      <c r="J44" s="22"/>
      <c r="K44" s="22"/>
      <c r="L44" s="22"/>
      <c r="M44" s="22"/>
      <c r="N44" s="20">
        <f t="shared" si="0"/>
        <v>0</v>
      </c>
      <c r="P44" s="14"/>
    </row>
    <row r="45" spans="1:16" x14ac:dyDescent="0.25">
      <c r="A45" t="s">
        <v>211</v>
      </c>
      <c r="B45" s="40"/>
      <c r="C45" s="40"/>
      <c r="D45" s="40"/>
      <c r="E45" s="40"/>
      <c r="F45" s="40"/>
      <c r="G45" s="40"/>
      <c r="H45" s="40"/>
      <c r="I45" s="40"/>
      <c r="J45" s="40"/>
      <c r="K45" s="40"/>
      <c r="L45" s="40">
        <v>300000</v>
      </c>
      <c r="M45" s="40"/>
      <c r="N45" s="20">
        <f t="shared" si="0"/>
        <v>300000</v>
      </c>
    </row>
    <row r="46" spans="1:16" x14ac:dyDescent="0.25">
      <c r="A46" t="s">
        <v>361</v>
      </c>
      <c r="B46" s="22">
        <f>IF('Prior year summary'!$G$129=1,('Prior year summary'!$F$127*'Prior year summary'!$G$125),0)</f>
        <v>0</v>
      </c>
      <c r="C46" s="22">
        <f>IF('Prior year summary'!$G$129=2,('Prior year summary'!$F$127*'Prior year summary'!$G$125),0)</f>
        <v>0</v>
      </c>
      <c r="D46" s="22">
        <f>IF('Prior year summary'!$G$129=3,('Prior year summary'!$F$127*'Prior year summary'!$G$125),0)</f>
        <v>0</v>
      </c>
      <c r="E46" s="22">
        <f>IF('Prior year summary'!$G$129=4,('Prior year summary'!$F$127*'Prior year summary'!$G$125),0)</f>
        <v>0</v>
      </c>
      <c r="F46" s="22">
        <f>IF('Prior year summary'!$G$129=5,('Prior year summary'!$F$127*'Prior year summary'!$G$125),0)</f>
        <v>0</v>
      </c>
      <c r="G46" s="22">
        <f>IF('Prior year summary'!$G$129=6,('Prior year summary'!$F$127*'Prior year summary'!$G$125),0)</f>
        <v>0</v>
      </c>
      <c r="H46" s="22">
        <f>IF('Prior year summary'!$G$129=7,('Prior year summary'!$F$127*'Prior year summary'!$G$125),0)</f>
        <v>0</v>
      </c>
      <c r="I46" s="22">
        <f>IF('Prior year summary'!$G$129=8,('Prior year summary'!$F$127*'Prior year summary'!$G$125),0)</f>
        <v>0</v>
      </c>
      <c r="J46" s="22">
        <f>IF('Prior year summary'!$G$129=9,('Prior year summary'!$F$127*'Prior year summary'!$G$125),0)</f>
        <v>0</v>
      </c>
      <c r="K46" s="22">
        <f>IF('Prior year summary'!$G$129=10,('Prior year summary'!$F$127*'Prior year summary'!$G$125),0)</f>
        <v>0</v>
      </c>
      <c r="L46" s="22">
        <f>IF('Prior year summary'!$G$129=11,('Prior year summary'!$F$127*'Prior year summary'!$G$125),0)</f>
        <v>0</v>
      </c>
      <c r="M46" s="22">
        <f>IF('Prior year summary'!$G$129=12,('Prior year summary'!$F$127*'Prior year summary'!$G$125),0)</f>
        <v>122122.09849999985</v>
      </c>
      <c r="N46" s="20">
        <f t="shared" si="0"/>
        <v>122122.09849999985</v>
      </c>
    </row>
    <row r="47" spans="1:16" x14ac:dyDescent="0.25">
      <c r="A47" t="s">
        <v>227</v>
      </c>
      <c r="B47" s="20">
        <f>SUM(B29:B46)</f>
        <v>70000</v>
      </c>
      <c r="C47" s="20">
        <f t="shared" ref="C47:M47" si="3">SUM(C29:C46)</f>
        <v>201133.16677979968</v>
      </c>
      <c r="D47" s="20">
        <f t="shared" si="3"/>
        <v>201133.16677979991</v>
      </c>
      <c r="E47" s="20">
        <f t="shared" si="3"/>
        <v>251133.16677979991</v>
      </c>
      <c r="F47" s="20">
        <f t="shared" si="3"/>
        <v>1133.1667797999107</v>
      </c>
      <c r="G47" s="20">
        <f t="shared" si="3"/>
        <v>250000</v>
      </c>
      <c r="H47" s="20">
        <f t="shared" si="3"/>
        <v>0</v>
      </c>
      <c r="I47" s="20">
        <f t="shared" si="3"/>
        <v>450000</v>
      </c>
      <c r="J47" s="20">
        <f t="shared" si="3"/>
        <v>200000.00000000023</v>
      </c>
      <c r="K47" s="20">
        <f t="shared" si="3"/>
        <v>199999.99999999977</v>
      </c>
      <c r="L47" s="20">
        <f t="shared" si="3"/>
        <v>500000</v>
      </c>
      <c r="M47" s="20">
        <f t="shared" si="3"/>
        <v>323668.86992220226</v>
      </c>
      <c r="N47" s="20">
        <f t="shared" si="0"/>
        <v>2648201.5370414015</v>
      </c>
    </row>
    <row r="48" spans="1:16" x14ac:dyDescent="0.25">
      <c r="A48" t="s">
        <v>219</v>
      </c>
      <c r="B48" s="20">
        <f>'Balance sheet'!C8</f>
        <v>113562</v>
      </c>
      <c r="C48" s="20">
        <f>B53</f>
        <v>343933.07032019994</v>
      </c>
      <c r="D48" s="20">
        <f t="shared" ref="D48:M48" si="4">C53</f>
        <v>191979.14064040029</v>
      </c>
      <c r="E48" s="20">
        <f t="shared" si="4"/>
        <v>40025.21096060038</v>
      </c>
      <c r="F48" s="20">
        <f t="shared" si="4"/>
        <v>38071.281280800467</v>
      </c>
      <c r="G48" s="20">
        <f t="shared" si="4"/>
        <v>286117.35160100047</v>
      </c>
      <c r="H48" s="20">
        <f t="shared" si="4"/>
        <v>336488.42192120058</v>
      </c>
      <c r="I48" s="20">
        <f t="shared" si="4"/>
        <v>636859.49224140064</v>
      </c>
      <c r="J48" s="20">
        <f t="shared" si="4"/>
        <v>287230.5625616007</v>
      </c>
      <c r="K48" s="20">
        <f t="shared" si="4"/>
        <v>235901.63288180053</v>
      </c>
      <c r="L48" s="20">
        <f t="shared" si="4"/>
        <v>682247.70320200082</v>
      </c>
      <c r="M48" s="20">
        <f t="shared" si="4"/>
        <v>274568.77352220088</v>
      </c>
      <c r="N48" s="20">
        <f t="shared" si="0"/>
        <v>3466984.641133206</v>
      </c>
    </row>
    <row r="49" spans="1:14" x14ac:dyDescent="0.25">
      <c r="A49" t="s">
        <v>220</v>
      </c>
      <c r="B49" s="20">
        <f>B27</f>
        <v>800371.07032019994</v>
      </c>
      <c r="C49" s="20">
        <f t="shared" ref="C49:M49" si="5">C27</f>
        <v>49179.237099999998</v>
      </c>
      <c r="D49" s="20">
        <f t="shared" si="5"/>
        <v>49179.237099999998</v>
      </c>
      <c r="E49" s="20">
        <f t="shared" si="5"/>
        <v>249179.2371</v>
      </c>
      <c r="F49" s="20">
        <f t="shared" si="5"/>
        <v>249179.23709999988</v>
      </c>
      <c r="G49" s="20">
        <f t="shared" si="5"/>
        <v>300371.07032020018</v>
      </c>
      <c r="H49" s="20">
        <f t="shared" si="5"/>
        <v>300371.07032020006</v>
      </c>
      <c r="I49" s="20">
        <f t="shared" si="5"/>
        <v>100371.07032020009</v>
      </c>
      <c r="J49" s="20">
        <f t="shared" si="5"/>
        <v>148671.07032020009</v>
      </c>
      <c r="K49" s="20">
        <f t="shared" si="5"/>
        <v>96346.070320200088</v>
      </c>
      <c r="L49" s="20">
        <f t="shared" si="5"/>
        <v>92321.070320200088</v>
      </c>
      <c r="M49" s="20">
        <f t="shared" si="5"/>
        <v>49415.39189999993</v>
      </c>
      <c r="N49" s="20">
        <f t="shared" si="0"/>
        <v>2484954.8325414006</v>
      </c>
    </row>
    <row r="50" spans="1:14" x14ac:dyDescent="0.25">
      <c r="A50" t="s">
        <v>221</v>
      </c>
      <c r="B50" s="20">
        <f>B47</f>
        <v>70000</v>
      </c>
      <c r="C50" s="20">
        <f t="shared" ref="C50:M50" si="6">C47</f>
        <v>201133.16677979968</v>
      </c>
      <c r="D50" s="20">
        <f t="shared" si="6"/>
        <v>201133.16677979991</v>
      </c>
      <c r="E50" s="20">
        <f t="shared" si="6"/>
        <v>251133.16677979991</v>
      </c>
      <c r="F50" s="20">
        <f t="shared" si="6"/>
        <v>1133.1667797999107</v>
      </c>
      <c r="G50" s="20">
        <f t="shared" si="6"/>
        <v>250000</v>
      </c>
      <c r="H50" s="20">
        <f t="shared" si="6"/>
        <v>0</v>
      </c>
      <c r="I50" s="20">
        <f t="shared" si="6"/>
        <v>450000</v>
      </c>
      <c r="J50" s="20">
        <f t="shared" si="6"/>
        <v>200000.00000000023</v>
      </c>
      <c r="K50" s="20">
        <f t="shared" si="6"/>
        <v>199999.99999999977</v>
      </c>
      <c r="L50" s="20">
        <f t="shared" si="6"/>
        <v>500000</v>
      </c>
      <c r="M50" s="20">
        <f t="shared" si="6"/>
        <v>323668.86992220226</v>
      </c>
      <c r="N50" s="20">
        <f t="shared" si="0"/>
        <v>2648201.5370414015</v>
      </c>
    </row>
    <row r="51" spans="1:14" x14ac:dyDescent="0.25">
      <c r="A51" t="s">
        <v>222</v>
      </c>
      <c r="B51" s="20">
        <f>B48+B49-B50</f>
        <v>843933.07032019994</v>
      </c>
      <c r="C51" s="20">
        <f t="shared" ref="C51:M51" si="7">C48+C49-C50</f>
        <v>191979.14064040029</v>
      </c>
      <c r="D51" s="20">
        <f t="shared" si="7"/>
        <v>40025.21096060038</v>
      </c>
      <c r="E51" s="20">
        <f t="shared" si="7"/>
        <v>38071.281280800467</v>
      </c>
      <c r="F51" s="20">
        <f t="shared" si="7"/>
        <v>286117.35160100047</v>
      </c>
      <c r="G51" s="20">
        <f t="shared" si="7"/>
        <v>336488.42192120058</v>
      </c>
      <c r="H51" s="20">
        <f t="shared" si="7"/>
        <v>636859.49224140064</v>
      </c>
      <c r="I51" s="20">
        <f t="shared" si="7"/>
        <v>287230.5625616007</v>
      </c>
      <c r="J51" s="20">
        <f t="shared" si="7"/>
        <v>235901.63288180053</v>
      </c>
      <c r="K51" s="20">
        <f t="shared" si="7"/>
        <v>132247.70320200082</v>
      </c>
      <c r="L51" s="20">
        <f t="shared" si="7"/>
        <v>274568.77352220088</v>
      </c>
      <c r="M51" s="20">
        <f t="shared" si="7"/>
        <v>315.29549999855226</v>
      </c>
      <c r="N51" s="20"/>
    </row>
    <row r="52" spans="1:14" x14ac:dyDescent="0.25">
      <c r="A52" t="s">
        <v>223</v>
      </c>
      <c r="B52" s="60">
        <v>-500000</v>
      </c>
      <c r="C52" s="60"/>
      <c r="D52" s="60"/>
      <c r="E52" s="60"/>
      <c r="F52" s="60"/>
      <c r="G52" s="60"/>
      <c r="H52" s="60"/>
      <c r="I52" s="60"/>
      <c r="J52" s="60"/>
      <c r="K52" s="60">
        <v>550000</v>
      </c>
      <c r="L52" s="60"/>
      <c r="M52" s="60"/>
      <c r="N52" s="20">
        <f t="shared" si="0"/>
        <v>50000</v>
      </c>
    </row>
    <row r="53" spans="1:14" x14ac:dyDescent="0.25">
      <c r="A53" t="s">
        <v>222</v>
      </c>
      <c r="B53" s="20">
        <f>B51+B52</f>
        <v>343933.07032019994</v>
      </c>
      <c r="C53" s="20">
        <f t="shared" ref="C53:M53" si="8">C51+C52</f>
        <v>191979.14064040029</v>
      </c>
      <c r="D53" s="20">
        <f t="shared" si="8"/>
        <v>40025.21096060038</v>
      </c>
      <c r="E53" s="20">
        <f t="shared" si="8"/>
        <v>38071.281280800467</v>
      </c>
      <c r="F53" s="20">
        <f t="shared" si="8"/>
        <v>286117.35160100047</v>
      </c>
      <c r="G53" s="20">
        <f t="shared" si="8"/>
        <v>336488.42192120058</v>
      </c>
      <c r="H53" s="20">
        <f t="shared" si="8"/>
        <v>636859.49224140064</v>
      </c>
      <c r="I53" s="20">
        <f t="shared" si="8"/>
        <v>287230.5625616007</v>
      </c>
      <c r="J53" s="20">
        <f t="shared" si="8"/>
        <v>235901.63288180053</v>
      </c>
      <c r="K53" s="20">
        <f t="shared" si="8"/>
        <v>682247.70320200082</v>
      </c>
      <c r="L53" s="20">
        <f t="shared" si="8"/>
        <v>274568.77352220088</v>
      </c>
      <c r="M53" s="20">
        <f t="shared" si="8"/>
        <v>315.29549999855226</v>
      </c>
      <c r="N53" s="20"/>
    </row>
    <row r="54" spans="1:14" x14ac:dyDescent="0.25">
      <c r="A54" t="s">
        <v>224</v>
      </c>
      <c r="B54" s="20">
        <f>+'Balance sheet'!K14+B52</f>
        <v>317000</v>
      </c>
      <c r="C54" s="20">
        <f>B54+C52</f>
        <v>317000</v>
      </c>
      <c r="D54" s="20">
        <f t="shared" ref="D54:M54" si="9">C54+D52</f>
        <v>317000</v>
      </c>
      <c r="E54" s="20">
        <f t="shared" si="9"/>
        <v>317000</v>
      </c>
      <c r="F54" s="20">
        <f t="shared" si="9"/>
        <v>317000</v>
      </c>
      <c r="G54" s="20">
        <f t="shared" si="9"/>
        <v>317000</v>
      </c>
      <c r="H54" s="20">
        <f t="shared" si="9"/>
        <v>317000</v>
      </c>
      <c r="I54" s="20">
        <f t="shared" si="9"/>
        <v>317000</v>
      </c>
      <c r="J54" s="20">
        <f t="shared" si="9"/>
        <v>317000</v>
      </c>
      <c r="K54" s="20">
        <f t="shared" si="9"/>
        <v>867000</v>
      </c>
      <c r="L54" s="20">
        <f t="shared" si="9"/>
        <v>867000</v>
      </c>
      <c r="M54" s="20">
        <f t="shared" si="9"/>
        <v>867000</v>
      </c>
      <c r="N54" s="20"/>
    </row>
    <row r="57" spans="1:14" x14ac:dyDescent="0.25">
      <c r="A57" t="s">
        <v>262</v>
      </c>
    </row>
    <row r="58" spans="1:14" x14ac:dyDescent="0.25">
      <c r="A58" t="s">
        <v>263</v>
      </c>
      <c r="B58" t="s">
        <v>264</v>
      </c>
    </row>
    <row r="59" spans="1:14" x14ac:dyDescent="0.25">
      <c r="A59" t="s">
        <v>265</v>
      </c>
      <c r="B59" t="s">
        <v>266</v>
      </c>
    </row>
    <row r="60" spans="1:14" x14ac:dyDescent="0.25">
      <c r="B60" t="s">
        <v>267</v>
      </c>
    </row>
    <row r="61" spans="1:14" x14ac:dyDescent="0.25">
      <c r="A61" t="s">
        <v>268</v>
      </c>
    </row>
    <row r="62" spans="1:14" x14ac:dyDescent="0.25">
      <c r="B62" t="s">
        <v>269</v>
      </c>
    </row>
  </sheetData>
  <phoneticPr fontId="2" type="noConversion"/>
  <hyperlinks>
    <hyperlink ref="A5" location="Instructions!L8" display="Instructions!L8"/>
  </hyperlinks>
  <pageMargins left="0.75" right="0.75" top="1" bottom="1" header="0.5" footer="0.5"/>
  <pageSetup orientation="portrait" horizontalDpi="0"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zoomScale="90" zoomScaleNormal="90" workbookViewId="0">
      <selection activeCell="K55" sqref="K55"/>
    </sheetView>
  </sheetViews>
  <sheetFormatPr defaultRowHeight="15" x14ac:dyDescent="0.25"/>
  <cols>
    <col min="3" max="3" width="14.28515625" bestFit="1" customWidth="1"/>
    <col min="5" max="5" width="13.28515625" bestFit="1" customWidth="1"/>
    <col min="7" max="7" width="14.28515625" bestFit="1" customWidth="1"/>
    <col min="8" max="8" width="4.28515625" customWidth="1"/>
    <col min="9" max="9" width="16.85546875" bestFit="1" customWidth="1"/>
    <col min="11" max="11" width="14.42578125" bestFit="1" customWidth="1"/>
    <col min="13" max="13" width="13.28515625" bestFit="1" customWidth="1"/>
    <col min="15" max="15" width="14.28515625" bestFit="1" customWidth="1"/>
    <col min="17" max="17" width="11.140625" bestFit="1" customWidth="1"/>
  </cols>
  <sheetData>
    <row r="1" spans="1:15" x14ac:dyDescent="0.25">
      <c r="A1" s="2" t="s">
        <v>414</v>
      </c>
    </row>
    <row r="2" spans="1:15" x14ac:dyDescent="0.25">
      <c r="A2" s="2" t="s">
        <v>415</v>
      </c>
    </row>
    <row r="3" spans="1:15" x14ac:dyDescent="0.25">
      <c r="A3" s="2" t="s">
        <v>416</v>
      </c>
    </row>
    <row r="4" spans="1:15" x14ac:dyDescent="0.25">
      <c r="A4" s="36" t="str">
        <f>'Monthly Sales Worksheet'!$C$6</f>
        <v>Back to Instructions</v>
      </c>
    </row>
    <row r="5" spans="1:15" x14ac:dyDescent="0.25">
      <c r="A5" t="s">
        <v>260</v>
      </c>
    </row>
    <row r="6" spans="1:15" x14ac:dyDescent="0.25">
      <c r="C6" t="s">
        <v>161</v>
      </c>
      <c r="E6" t="s">
        <v>228</v>
      </c>
      <c r="G6" t="s">
        <v>0</v>
      </c>
      <c r="K6" t="s">
        <v>161</v>
      </c>
      <c r="L6" t="s">
        <v>6</v>
      </c>
      <c r="M6" t="s">
        <v>228</v>
      </c>
      <c r="O6" t="s">
        <v>0</v>
      </c>
    </row>
    <row r="7" spans="1:15" x14ac:dyDescent="0.25">
      <c r="A7" t="s">
        <v>6</v>
      </c>
      <c r="G7">
        <v>0</v>
      </c>
    </row>
    <row r="8" spans="1:15" x14ac:dyDescent="0.25">
      <c r="A8" t="s">
        <v>229</v>
      </c>
      <c r="C8" s="40">
        <v>113562</v>
      </c>
      <c r="D8" s="20"/>
      <c r="E8" s="20">
        <f>G8-C8-A53+A55</f>
        <v>-113246.70450000145</v>
      </c>
      <c r="F8" s="20"/>
      <c r="G8" s="20">
        <f>Cashflow!M53</f>
        <v>315.29549999855226</v>
      </c>
      <c r="H8" s="20"/>
      <c r="I8" t="s">
        <v>230</v>
      </c>
      <c r="K8" s="40"/>
      <c r="L8" s="20"/>
      <c r="M8" s="40"/>
      <c r="N8" s="20"/>
      <c r="O8" s="20">
        <f>K8+M8</f>
        <v>0</v>
      </c>
    </row>
    <row r="9" spans="1:15" x14ac:dyDescent="0.25">
      <c r="A9" t="s">
        <v>6</v>
      </c>
      <c r="C9" s="40"/>
      <c r="D9" s="20"/>
      <c r="E9" s="20"/>
      <c r="F9" s="20"/>
      <c r="G9" s="20">
        <v>0</v>
      </c>
      <c r="H9" s="20"/>
      <c r="I9" t="s">
        <v>231</v>
      </c>
      <c r="K9" s="40">
        <v>832435</v>
      </c>
      <c r="L9" s="20"/>
      <c r="M9" s="22">
        <f>Cashflow!N12-Cashflow!N34</f>
        <v>0</v>
      </c>
      <c r="N9" s="20"/>
      <c r="O9" s="20">
        <f t="shared" ref="O9:O12" si="0">K9+M9</f>
        <v>832435</v>
      </c>
    </row>
    <row r="10" spans="1:15" x14ac:dyDescent="0.25">
      <c r="A10" t="s">
        <v>232</v>
      </c>
      <c r="C10" s="40">
        <v>1733230</v>
      </c>
      <c r="D10" s="20"/>
      <c r="E10" s="20">
        <f>Cashflow!N29-Cashflow!N8</f>
        <v>1.1641532182693481E-9</v>
      </c>
      <c r="F10" s="20"/>
      <c r="G10" s="20">
        <f>C10+E10</f>
        <v>1733230.0000000012</v>
      </c>
      <c r="H10" s="20"/>
      <c r="I10" t="s">
        <v>233</v>
      </c>
      <c r="K10" s="40">
        <v>80710</v>
      </c>
      <c r="L10" s="20"/>
      <c r="M10" s="40"/>
      <c r="N10" s="20"/>
      <c r="O10" s="20">
        <f t="shared" si="0"/>
        <v>80710</v>
      </c>
    </row>
    <row r="11" spans="1:15" x14ac:dyDescent="0.25">
      <c r="A11" t="s">
        <v>234</v>
      </c>
      <c r="C11" s="40">
        <v>100000</v>
      </c>
      <c r="D11" s="20"/>
      <c r="E11" s="40"/>
      <c r="F11" s="20"/>
      <c r="G11" s="20">
        <f>C11+E11</f>
        <v>100000</v>
      </c>
      <c r="H11" s="20"/>
      <c r="I11" t="s">
        <v>235</v>
      </c>
      <c r="K11" s="40">
        <v>108964</v>
      </c>
      <c r="L11" s="20"/>
      <c r="M11" s="40"/>
      <c r="N11" s="20"/>
      <c r="O11" s="20">
        <f t="shared" si="0"/>
        <v>108964</v>
      </c>
    </row>
    <row r="12" spans="1:15" x14ac:dyDescent="0.25">
      <c r="A12" t="s">
        <v>236</v>
      </c>
      <c r="C12" s="40">
        <v>220674</v>
      </c>
      <c r="D12" s="20"/>
      <c r="E12" s="22">
        <f>Cashflow!N31-Cashflow!N10</f>
        <v>0</v>
      </c>
      <c r="F12" s="20"/>
      <c r="G12" s="20">
        <f t="shared" ref="G12:G20" si="1">C12+E12</f>
        <v>220674</v>
      </c>
      <c r="H12" s="20"/>
      <c r="I12" t="s">
        <v>237</v>
      </c>
      <c r="K12" s="40">
        <v>0</v>
      </c>
      <c r="L12" s="20"/>
      <c r="M12" s="22">
        <f>Cashflow!N42-Cashflow!N14</f>
        <v>0</v>
      </c>
      <c r="N12" s="20"/>
      <c r="O12" s="20">
        <f t="shared" si="0"/>
        <v>0</v>
      </c>
    </row>
    <row r="13" spans="1:15" x14ac:dyDescent="0.25">
      <c r="A13" t="s">
        <v>238</v>
      </c>
      <c r="C13" s="40">
        <v>147792</v>
      </c>
      <c r="D13" s="20"/>
      <c r="E13" s="63">
        <f>Cashflow!N32-Cashflow!N11</f>
        <v>0</v>
      </c>
      <c r="F13" s="20"/>
      <c r="G13" s="20">
        <f t="shared" si="1"/>
        <v>147792</v>
      </c>
      <c r="H13" s="20"/>
      <c r="I13" t="s">
        <v>240</v>
      </c>
      <c r="K13" s="40"/>
      <c r="L13" s="20"/>
      <c r="M13" s="22">
        <f>Cashflow!N13-Cashflow!N35</f>
        <v>0</v>
      </c>
      <c r="N13" s="20"/>
      <c r="O13" s="20">
        <f>K13+M13</f>
        <v>0</v>
      </c>
    </row>
    <row r="14" spans="1:15" x14ac:dyDescent="0.25">
      <c r="A14" t="s">
        <v>239</v>
      </c>
      <c r="C14" s="40">
        <v>185214</v>
      </c>
      <c r="D14" s="20"/>
      <c r="E14" s="40"/>
      <c r="F14" s="20"/>
      <c r="G14" s="20">
        <f t="shared" si="1"/>
        <v>185214</v>
      </c>
      <c r="H14" s="20"/>
      <c r="I14" t="s">
        <v>242</v>
      </c>
      <c r="K14" s="40">
        <v>817000</v>
      </c>
      <c r="L14" s="20"/>
      <c r="M14" s="22">
        <f>Cashflow!N52</f>
        <v>50000</v>
      </c>
      <c r="N14" s="20"/>
      <c r="O14" s="20">
        <f>K14+M14</f>
        <v>867000</v>
      </c>
    </row>
    <row r="15" spans="1:15" x14ac:dyDescent="0.25">
      <c r="A15" t="s">
        <v>241</v>
      </c>
      <c r="C15" s="40"/>
      <c r="D15" s="20"/>
      <c r="E15" s="40"/>
      <c r="F15" s="20"/>
      <c r="G15" s="20">
        <f t="shared" si="1"/>
        <v>0</v>
      </c>
      <c r="H15" s="20"/>
      <c r="I15" t="s">
        <v>243</v>
      </c>
      <c r="K15" s="40"/>
      <c r="L15" s="20"/>
      <c r="M15" s="40"/>
      <c r="N15" s="20"/>
      <c r="O15" s="20">
        <f>K15+M15</f>
        <v>0</v>
      </c>
    </row>
    <row r="16" spans="1:15" x14ac:dyDescent="0.25">
      <c r="A16" t="s">
        <v>241</v>
      </c>
      <c r="C16" s="40"/>
      <c r="D16" s="20"/>
      <c r="E16" s="40"/>
      <c r="F16" s="20"/>
      <c r="G16" s="20">
        <f t="shared" si="1"/>
        <v>0</v>
      </c>
      <c r="H16" s="20"/>
      <c r="I16" t="s">
        <v>362</v>
      </c>
      <c r="K16" s="40">
        <v>0</v>
      </c>
      <c r="L16" s="20"/>
      <c r="M16" s="22">
        <f>('Prior year summary'!F127*'Prior year summary'!G125)-Cashflow!M46</f>
        <v>0</v>
      </c>
      <c r="N16" s="20"/>
      <c r="O16" s="20">
        <f>K16+M16</f>
        <v>0</v>
      </c>
    </row>
    <row r="17" spans="1:17" x14ac:dyDescent="0.25">
      <c r="A17" t="s">
        <v>6</v>
      </c>
      <c r="C17" s="40"/>
      <c r="D17" s="20"/>
      <c r="E17" s="40"/>
      <c r="F17" s="20"/>
      <c r="G17" s="20">
        <f t="shared" si="1"/>
        <v>0</v>
      </c>
      <c r="H17" s="20"/>
    </row>
    <row r="18" spans="1:17" x14ac:dyDescent="0.25">
      <c r="A18" t="s">
        <v>244</v>
      </c>
      <c r="C18" s="40">
        <v>17116</v>
      </c>
      <c r="D18" s="20"/>
      <c r="E18" s="40"/>
      <c r="F18" s="20"/>
      <c r="G18" s="20">
        <f t="shared" si="1"/>
        <v>17116</v>
      </c>
      <c r="H18" s="20"/>
      <c r="I18" t="s">
        <v>246</v>
      </c>
      <c r="K18" s="20">
        <f>SUM(K8:K17)</f>
        <v>1839109</v>
      </c>
      <c r="L18" s="20" t="s">
        <v>6</v>
      </c>
      <c r="M18" s="20">
        <f>SUM(M8:M17)</f>
        <v>50000</v>
      </c>
      <c r="N18" s="20" t="s">
        <v>6</v>
      </c>
      <c r="O18" s="20">
        <f>SUM(O8:O17)</f>
        <v>1889109</v>
      </c>
    </row>
    <row r="19" spans="1:17" x14ac:dyDescent="0.25">
      <c r="A19" t="s">
        <v>6</v>
      </c>
      <c r="C19" s="40"/>
      <c r="D19" s="20"/>
      <c r="E19" s="20"/>
      <c r="F19" s="20"/>
      <c r="G19" s="20">
        <f t="shared" si="1"/>
        <v>0</v>
      </c>
      <c r="H19" s="20"/>
      <c r="K19" s="22"/>
      <c r="L19" s="22"/>
      <c r="M19" s="22"/>
      <c r="N19" s="20"/>
      <c r="O19" s="20"/>
    </row>
    <row r="20" spans="1:17" x14ac:dyDescent="0.25">
      <c r="A20" t="s">
        <v>245</v>
      </c>
      <c r="C20" s="40">
        <v>2127045</v>
      </c>
      <c r="D20" s="20"/>
      <c r="E20" s="20">
        <f>'Acc Rec Worksheet'!M21-'Acc Rec Worksheet'!M17</f>
        <v>0</v>
      </c>
      <c r="F20" s="20"/>
      <c r="G20" s="20">
        <f t="shared" si="1"/>
        <v>2127045</v>
      </c>
      <c r="H20" s="20"/>
      <c r="I20" t="s">
        <v>371</v>
      </c>
      <c r="K20" s="22"/>
      <c r="L20" s="22"/>
      <c r="M20" s="22"/>
      <c r="N20" s="20"/>
      <c r="O20" s="20"/>
    </row>
    <row r="21" spans="1:17" x14ac:dyDescent="0.25">
      <c r="C21" s="20"/>
      <c r="D21" s="20"/>
      <c r="E21" s="20"/>
      <c r="F21" s="20"/>
      <c r="G21" s="20">
        <v>0</v>
      </c>
      <c r="H21" s="20"/>
      <c r="Q21" s="14"/>
    </row>
    <row r="22" spans="1:17" x14ac:dyDescent="0.25">
      <c r="A22" t="s">
        <v>16</v>
      </c>
      <c r="C22" s="20">
        <f>SUM(C8:C20)</f>
        <v>4644633</v>
      </c>
      <c r="D22" s="20"/>
      <c r="E22" s="20">
        <f>SUM(E8:E20)</f>
        <v>-113246.70450000028</v>
      </c>
      <c r="F22" s="20"/>
      <c r="G22" s="20">
        <f>SUM(G8:G20)</f>
        <v>4531386.2955</v>
      </c>
      <c r="H22" s="20"/>
      <c r="I22" t="s">
        <v>353</v>
      </c>
      <c r="K22" s="40">
        <v>4318443</v>
      </c>
      <c r="L22" s="22" t="s">
        <v>6</v>
      </c>
      <c r="M22" s="22">
        <f>-Cashflow!N37</f>
        <v>-500000</v>
      </c>
      <c r="N22" s="20" t="s">
        <v>6</v>
      </c>
      <c r="O22" s="20">
        <f>K22+M22</f>
        <v>3818443</v>
      </c>
    </row>
    <row r="23" spans="1:17" x14ac:dyDescent="0.25">
      <c r="C23" s="20"/>
      <c r="D23" s="20"/>
      <c r="E23" s="20"/>
      <c r="F23" s="20"/>
      <c r="G23" s="20"/>
      <c r="H23" s="20"/>
      <c r="I23" t="s">
        <v>354</v>
      </c>
      <c r="K23" s="40">
        <v>0</v>
      </c>
      <c r="L23" s="22" t="s">
        <v>6</v>
      </c>
      <c r="M23" s="22">
        <f>-Cashflow!N38</f>
        <v>0</v>
      </c>
      <c r="N23" s="20" t="s">
        <v>6</v>
      </c>
      <c r="O23" s="20">
        <f>K23+M23</f>
        <v>0</v>
      </c>
    </row>
    <row r="24" spans="1:17" x14ac:dyDescent="0.25">
      <c r="A24" t="s">
        <v>340</v>
      </c>
      <c r="C24" s="40">
        <v>348560</v>
      </c>
      <c r="D24" s="20" t="s">
        <v>6</v>
      </c>
      <c r="E24" s="22">
        <f>Cashflow!B43</f>
        <v>70000</v>
      </c>
      <c r="F24" s="20" t="s">
        <v>6</v>
      </c>
      <c r="G24" s="20">
        <f>C24+E24</f>
        <v>418560</v>
      </c>
      <c r="H24" s="20"/>
      <c r="I24" t="s">
        <v>355</v>
      </c>
      <c r="K24" s="40">
        <v>0</v>
      </c>
      <c r="L24" s="22" t="s">
        <v>6</v>
      </c>
      <c r="M24" s="22">
        <f>-Cashflow!N39</f>
        <v>0</v>
      </c>
      <c r="N24" s="20" t="s">
        <v>6</v>
      </c>
      <c r="O24" s="20">
        <f>K24+M24</f>
        <v>0</v>
      </c>
    </row>
    <row r="25" spans="1:17" x14ac:dyDescent="0.25">
      <c r="A25" t="s">
        <v>247</v>
      </c>
      <c r="C25" s="40"/>
      <c r="D25" s="20" t="s">
        <v>6</v>
      </c>
      <c r="E25" s="22">
        <f>Cashflow!N25-Cashflow!N44</f>
        <v>0</v>
      </c>
      <c r="F25" s="20" t="s">
        <v>6</v>
      </c>
      <c r="G25" s="20">
        <f>C25+E25</f>
        <v>0</v>
      </c>
      <c r="H25" s="20"/>
      <c r="I25" t="s">
        <v>356</v>
      </c>
      <c r="K25" s="40">
        <v>0</v>
      </c>
      <c r="L25" s="22" t="s">
        <v>6</v>
      </c>
      <c r="M25" s="22">
        <f>-Cashflow!N40</f>
        <v>0</v>
      </c>
      <c r="N25" s="20" t="s">
        <v>6</v>
      </c>
      <c r="O25" s="20">
        <f>K25+M25</f>
        <v>0</v>
      </c>
    </row>
    <row r="26" spans="1:17" x14ac:dyDescent="0.25">
      <c r="C26" s="20"/>
      <c r="D26" s="20"/>
      <c r="E26" s="20"/>
      <c r="F26" s="20"/>
      <c r="G26" s="20" t="s">
        <v>6</v>
      </c>
      <c r="H26" s="20"/>
      <c r="K26" s="40">
        <v>0</v>
      </c>
      <c r="L26" s="22" t="s">
        <v>6</v>
      </c>
      <c r="M26" s="22"/>
      <c r="N26" s="20" t="s">
        <v>6</v>
      </c>
      <c r="O26" s="20">
        <f>K26+M26</f>
        <v>0</v>
      </c>
    </row>
    <row r="27" spans="1:17" x14ac:dyDescent="0.25">
      <c r="A27" t="s">
        <v>261</v>
      </c>
      <c r="C27" s="20">
        <f>SUM(C24:C26)</f>
        <v>348560</v>
      </c>
      <c r="D27" s="20"/>
      <c r="E27" s="20">
        <f>SUM(E24:E26)</f>
        <v>70000</v>
      </c>
      <c r="F27" s="20"/>
      <c r="G27" s="20">
        <f>SUM(G24:G26)</f>
        <v>418560</v>
      </c>
      <c r="H27" s="20"/>
      <c r="I27" t="s">
        <v>357</v>
      </c>
      <c r="K27" s="20">
        <f>SUM(K22:K26)</f>
        <v>4318443</v>
      </c>
      <c r="L27" s="20"/>
      <c r="M27" s="20">
        <f>SUM(M22:M26)</f>
        <v>-500000</v>
      </c>
      <c r="N27" s="20"/>
      <c r="O27" s="20">
        <f>SUM(O22:O26)</f>
        <v>3818443</v>
      </c>
    </row>
    <row r="28" spans="1:17" x14ac:dyDescent="0.25">
      <c r="C28" s="20"/>
      <c r="D28" s="20"/>
      <c r="E28" s="20"/>
      <c r="F28" s="20"/>
      <c r="G28" s="20"/>
      <c r="H28" s="20"/>
    </row>
    <row r="29" spans="1:17" x14ac:dyDescent="0.25">
      <c r="C29" s="20"/>
      <c r="D29" s="20"/>
      <c r="E29" s="20"/>
      <c r="F29" s="20"/>
      <c r="G29" s="20"/>
      <c r="H29" s="20"/>
      <c r="K29" s="20"/>
      <c r="L29" s="20"/>
      <c r="M29" s="20"/>
      <c r="N29" s="20"/>
      <c r="O29" s="20"/>
    </row>
    <row r="30" spans="1:17" x14ac:dyDescent="0.25">
      <c r="A30" t="s">
        <v>248</v>
      </c>
      <c r="C30" s="40">
        <v>50000</v>
      </c>
      <c r="D30" s="20" t="s">
        <v>6</v>
      </c>
      <c r="E30" s="40">
        <v>0</v>
      </c>
      <c r="F30" s="20" t="s">
        <v>6</v>
      </c>
      <c r="G30" s="20">
        <f>C30+E30</f>
        <v>50000</v>
      </c>
      <c r="H30" s="20"/>
      <c r="I30" t="s">
        <v>249</v>
      </c>
      <c r="K30" s="20">
        <f>K18+K27</f>
        <v>6157552</v>
      </c>
      <c r="L30" s="20" t="s">
        <v>6</v>
      </c>
      <c r="M30" s="20">
        <f>M18+M27</f>
        <v>-450000</v>
      </c>
      <c r="N30" s="20" t="s">
        <v>6</v>
      </c>
      <c r="O30" s="20">
        <f>O18+O27</f>
        <v>5707552</v>
      </c>
    </row>
    <row r="31" spans="1:17" x14ac:dyDescent="0.25">
      <c r="A31" t="s">
        <v>250</v>
      </c>
      <c r="C31" s="40">
        <v>19283552</v>
      </c>
      <c r="D31" s="20" t="s">
        <v>6</v>
      </c>
      <c r="E31" s="20">
        <f>Cashflow!N33</f>
        <v>250000</v>
      </c>
      <c r="F31" s="20" t="s">
        <v>6</v>
      </c>
      <c r="G31" s="20">
        <f>C31+E31</f>
        <v>19533552</v>
      </c>
      <c r="H31" s="20"/>
      <c r="K31" s="20"/>
      <c r="L31" s="20"/>
      <c r="M31" s="20"/>
      <c r="N31" s="20"/>
      <c r="O31" s="20"/>
    </row>
    <row r="32" spans="1:17" x14ac:dyDescent="0.25">
      <c r="A32" t="s">
        <v>251</v>
      </c>
      <c r="C32" s="40">
        <v>5794450</v>
      </c>
      <c r="D32" s="20" t="s">
        <v>6</v>
      </c>
      <c r="E32" s="20">
        <f>Cashflow!N22</f>
        <v>590387</v>
      </c>
      <c r="F32" s="20" t="s">
        <v>6</v>
      </c>
      <c r="G32" s="20">
        <f>C32+E32</f>
        <v>6384837</v>
      </c>
      <c r="H32" s="20"/>
      <c r="I32" t="s">
        <v>252</v>
      </c>
      <c r="K32" s="40">
        <v>400000</v>
      </c>
      <c r="L32" s="20" t="s">
        <v>253</v>
      </c>
      <c r="M32" s="40">
        <v>0</v>
      </c>
      <c r="N32" s="20" t="s">
        <v>253</v>
      </c>
      <c r="O32" s="20">
        <f>K32+M32</f>
        <v>400000</v>
      </c>
    </row>
    <row r="33" spans="1:17" x14ac:dyDescent="0.25">
      <c r="C33" s="40"/>
      <c r="D33" s="20"/>
      <c r="E33" s="20"/>
      <c r="F33" s="20"/>
      <c r="G33" s="20"/>
      <c r="H33" s="20"/>
      <c r="I33" t="s">
        <v>254</v>
      </c>
      <c r="K33" s="40">
        <v>9833376</v>
      </c>
      <c r="L33" s="20" t="s">
        <v>253</v>
      </c>
      <c r="M33" s="20">
        <f>-Cashflow!N45+('Prior year summary'!F127*'Prior year summary'!H125)</f>
        <v>41941.875799999572</v>
      </c>
      <c r="N33" s="20" t="s">
        <v>253</v>
      </c>
      <c r="O33" s="20">
        <f>K33+M33</f>
        <v>9875317.8757999986</v>
      </c>
      <c r="Q33" s="14"/>
    </row>
    <row r="34" spans="1:17" x14ac:dyDescent="0.25">
      <c r="A34" t="s">
        <v>255</v>
      </c>
      <c r="C34" s="20">
        <f>C30+C31-C32</f>
        <v>13539102</v>
      </c>
      <c r="D34" s="20"/>
      <c r="E34" s="20">
        <f>E30+E31-E32</f>
        <v>-340387</v>
      </c>
      <c r="F34" s="20"/>
      <c r="G34" s="20">
        <f>G30+G31-G32</f>
        <v>13198715</v>
      </c>
      <c r="H34" s="20"/>
      <c r="I34" t="s">
        <v>6</v>
      </c>
      <c r="J34" t="s">
        <v>6</v>
      </c>
      <c r="K34" s="40">
        <v>0</v>
      </c>
      <c r="L34" s="20" t="s">
        <v>253</v>
      </c>
      <c r="M34" s="20">
        <v>0</v>
      </c>
      <c r="N34" s="20" t="s">
        <v>253</v>
      </c>
      <c r="O34" s="20">
        <v>0</v>
      </c>
      <c r="Q34" s="14"/>
    </row>
    <row r="35" spans="1:17" x14ac:dyDescent="0.25">
      <c r="C35" s="20"/>
      <c r="D35" s="20"/>
      <c r="E35" s="20"/>
      <c r="F35" s="20"/>
      <c r="G35" s="20"/>
      <c r="H35" s="20"/>
      <c r="I35" t="s">
        <v>256</v>
      </c>
      <c r="K35" s="22"/>
      <c r="L35" s="20" t="s">
        <v>253</v>
      </c>
      <c r="M35" s="22">
        <v>0</v>
      </c>
      <c r="N35" s="20" t="s">
        <v>253</v>
      </c>
      <c r="O35" s="20"/>
    </row>
    <row r="36" spans="1:17" x14ac:dyDescent="0.25">
      <c r="A36" t="s">
        <v>247</v>
      </c>
      <c r="C36" s="40"/>
      <c r="D36" s="20"/>
      <c r="E36" s="40"/>
      <c r="F36" s="20"/>
      <c r="G36" s="20">
        <f>C36+E36</f>
        <v>0</v>
      </c>
      <c r="H36" s="20"/>
      <c r="I36" t="s">
        <v>257</v>
      </c>
      <c r="K36" s="21">
        <v>2141367</v>
      </c>
      <c r="L36" s="20" t="s">
        <v>253</v>
      </c>
      <c r="M36" s="20">
        <f>'Prior year summary'!F127*'Prior year summary'!I125</f>
        <v>24424.419699999969</v>
      </c>
      <c r="N36" s="20" t="s">
        <v>253</v>
      </c>
      <c r="O36" s="20">
        <f>K36+M36</f>
        <v>2165791.4197</v>
      </c>
    </row>
    <row r="37" spans="1:17" x14ac:dyDescent="0.25">
      <c r="C37" s="40"/>
      <c r="D37" s="20"/>
      <c r="E37" s="40"/>
      <c r="F37" s="20"/>
      <c r="G37" s="20">
        <f>C37+E37</f>
        <v>0</v>
      </c>
      <c r="H37" s="20"/>
      <c r="I37" t="s">
        <v>258</v>
      </c>
      <c r="K37" s="20">
        <f>SUM(K32:K36)</f>
        <v>12374743</v>
      </c>
      <c r="L37" s="20"/>
      <c r="M37" s="20">
        <f>SUM(M32:M36)</f>
        <v>66366.295499999542</v>
      </c>
      <c r="N37" s="20"/>
      <c r="O37" s="20">
        <f>SUM(O32:O36)</f>
        <v>12441109.295499999</v>
      </c>
    </row>
    <row r="38" spans="1:17" x14ac:dyDescent="0.25">
      <c r="C38" s="40"/>
      <c r="D38" s="20"/>
      <c r="E38" s="40"/>
      <c r="F38" s="20"/>
      <c r="G38" s="20">
        <f>C38+E38</f>
        <v>0</v>
      </c>
      <c r="H38" s="20"/>
      <c r="I38" t="s">
        <v>6</v>
      </c>
      <c r="J38" t="s">
        <v>6</v>
      </c>
      <c r="K38" s="20" t="s">
        <v>6</v>
      </c>
      <c r="L38" s="20" t="s">
        <v>6</v>
      </c>
      <c r="M38" s="20" t="s">
        <v>6</v>
      </c>
      <c r="N38" s="20" t="s">
        <v>6</v>
      </c>
      <c r="O38" s="20" t="s">
        <v>6</v>
      </c>
    </row>
    <row r="39" spans="1:17" x14ac:dyDescent="0.25">
      <c r="A39" t="s">
        <v>14</v>
      </c>
      <c r="C39" s="20">
        <f>C22+C27+C34+C36+C37+C38</f>
        <v>18532295</v>
      </c>
      <c r="D39" s="20"/>
      <c r="E39" s="20">
        <f>E22+E34+E36+E37+E38</f>
        <v>-453633.70450000028</v>
      </c>
      <c r="F39" s="20"/>
      <c r="G39" s="20">
        <f>G22+G27+G34+G36+G37+G38</f>
        <v>18148661.295499999</v>
      </c>
      <c r="H39" s="20"/>
      <c r="I39" t="s">
        <v>259</v>
      </c>
      <c r="K39" s="20">
        <f>K30+K37</f>
        <v>18532295</v>
      </c>
      <c r="L39" s="20"/>
      <c r="M39" s="20">
        <f>M30+M37</f>
        <v>-383633.70450000046</v>
      </c>
      <c r="N39" s="20" t="s">
        <v>6</v>
      </c>
      <c r="O39" s="20">
        <f>O30+O37</f>
        <v>18148661.295499999</v>
      </c>
    </row>
    <row r="41" spans="1:17" x14ac:dyDescent="0.25">
      <c r="K41" s="24"/>
      <c r="O41" s="14">
        <f>O39-G39</f>
        <v>0</v>
      </c>
    </row>
    <row r="42" spans="1:17" x14ac:dyDescent="0.25">
      <c r="A42" t="s">
        <v>372</v>
      </c>
      <c r="K42" s="14">
        <f>C39-K39</f>
        <v>0</v>
      </c>
    </row>
    <row r="43" spans="1:17" x14ac:dyDescent="0.25">
      <c r="A43" t="s">
        <v>373</v>
      </c>
    </row>
    <row r="44" spans="1:17" x14ac:dyDescent="0.25">
      <c r="A44" t="s">
        <v>374</v>
      </c>
    </row>
    <row r="45" spans="1:17" x14ac:dyDescent="0.25">
      <c r="A45" t="s">
        <v>417</v>
      </c>
    </row>
    <row r="46" spans="1:17" x14ac:dyDescent="0.25">
      <c r="A46" t="s">
        <v>375</v>
      </c>
    </row>
    <row r="47" spans="1:17" x14ac:dyDescent="0.25">
      <c r="A47" t="s">
        <v>376</v>
      </c>
    </row>
    <row r="48" spans="1:17" x14ac:dyDescent="0.25">
      <c r="A48" t="s">
        <v>377</v>
      </c>
    </row>
    <row r="49" spans="1:2" x14ac:dyDescent="0.25">
      <c r="A49" t="s">
        <v>378</v>
      </c>
    </row>
    <row r="50" spans="1:2" x14ac:dyDescent="0.25">
      <c r="A50" t="s">
        <v>379</v>
      </c>
    </row>
    <row r="53" spans="1:2" x14ac:dyDescent="0.25">
      <c r="A53" s="34"/>
      <c r="B53" t="s">
        <v>380</v>
      </c>
    </row>
    <row r="55" spans="1:2" x14ac:dyDescent="0.25">
      <c r="A55" s="34"/>
      <c r="B55" t="s">
        <v>381</v>
      </c>
    </row>
  </sheetData>
  <phoneticPr fontId="2" type="noConversion"/>
  <hyperlinks>
    <hyperlink ref="A4" location="Instructions!L8" display="Instructions!L8"/>
  </hyperlinks>
  <pageMargins left="0.75" right="0.75" top="1" bottom="1"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Instructions</vt:lpstr>
      <vt:lpstr>Prior year summary</vt:lpstr>
      <vt:lpstr>Monthly Sales Worksheet</vt:lpstr>
      <vt:lpstr>5 year history</vt:lpstr>
      <vt:lpstr>Monthly Income Worksheet</vt:lpstr>
      <vt:lpstr>Monthly Expense Worksheet</vt:lpstr>
      <vt:lpstr>Acc Rec Worksheet</vt:lpstr>
      <vt:lpstr>Cashflow</vt:lpstr>
      <vt:lpstr>Balance sheet</vt:lpstr>
      <vt:lpstr>Fixed Asset Worksheet</vt:lpstr>
      <vt:lpstr>Sales Budget</vt:lpstr>
      <vt:lpstr>Income Budget</vt:lpstr>
      <vt:lpstr>Expense budget</vt:lpstr>
      <vt:lpstr>Profit Summary</vt:lpstr>
      <vt:lpstr>Working Capital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Kenkel, Phil</dc:creator>
  <cp:lastModifiedBy>user</cp:lastModifiedBy>
  <cp:lastPrinted>2011-04-11T12:28:54Z</cp:lastPrinted>
  <dcterms:created xsi:type="dcterms:W3CDTF">2011-03-11T21:57:04Z</dcterms:created>
  <dcterms:modified xsi:type="dcterms:W3CDTF">2017-09-30T16:33:03Z</dcterms:modified>
</cp:coreProperties>
</file>